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6.xml" ContentType="application/vnd.openxmlformats-officedocument.spreadsheetml.tab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comments5.xml" ContentType="application/vnd.openxmlformats-officedocument.spreadsheetml.comments+xml"/>
  <Override PartName="/xl/tables/table13.xml" ContentType="application/vnd.openxmlformats-officedocument.spreadsheetml.table+xml"/>
  <Override PartName="/xl/comments6.xml" ContentType="application/vnd.openxmlformats-officedocument.spreadsheetml.comments+xml"/>
  <Override PartName="/xl/tables/table14.xml" ContentType="application/vnd.openxmlformats-officedocument.spreadsheetml.table+xml"/>
  <Override PartName="/xl/comments7.xml" ContentType="application/vnd.openxmlformats-officedocument.spreadsheetml.comments+xml"/>
  <Override PartName="/xl/tables/table15.xml" ContentType="application/vnd.openxmlformats-officedocument.spreadsheetml.table+xml"/>
  <Override PartName="/xl/comments8.xml" ContentType="application/vnd.openxmlformats-officedocument.spreadsheetml.comments+xml"/>
  <Override PartName="/xl/tables/table16.xml" ContentType="application/vnd.openxmlformats-officedocument.spreadsheetml.table+xml"/>
  <Override PartName="/xl/comments9.xml" ContentType="application/vnd.openxmlformats-officedocument.spreadsheetml.comments+xml"/>
  <Override PartName="/xl/tables/table17.xml" ContentType="application/vnd.openxmlformats-officedocument.spreadsheetml.table+xml"/>
  <Override PartName="/xl/comments10.xml" ContentType="application/vnd.openxmlformats-officedocument.spreadsheetml.comments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omments11.xml" ContentType="application/vnd.openxmlformats-officedocument.spreadsheetml.comments+xml"/>
  <Override PartName="/xl/tables/table23.xml" ContentType="application/vnd.openxmlformats-officedocument.spreadsheetml.table+xml"/>
  <Override PartName="/xl/comments12.xml" ContentType="application/vnd.openxmlformats-officedocument.spreadsheetml.comments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comments13.xml" ContentType="application/vnd.openxmlformats-officedocument.spreadsheetml.comments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1BABF0BA-0FE7-4DB5-8013-3C818A9FBDFB}" xr6:coauthVersionLast="47" xr6:coauthVersionMax="47" xr10:uidLastSave="{00000000-0000-0000-0000-000000000000}"/>
  <bookViews>
    <workbookView xWindow="-108" yWindow="-108" windowWidth="23256" windowHeight="12456" tabRatio="932" firstSheet="19" activeTab="24" xr2:uid="{00000000-000D-0000-FFFF-FFFF00000000}"/>
  </bookViews>
  <sheets>
    <sheet name="Janvier" sheetId="4" r:id="rId1"/>
    <sheet name="Février" sheetId="5" r:id="rId2"/>
    <sheet name="Mars" sheetId="17" r:id="rId3"/>
    <sheet name="Avril" sheetId="18" r:id="rId4"/>
    <sheet name="Mai" sheetId="19" r:id="rId5"/>
    <sheet name="Juin" sheetId="20" r:id="rId6"/>
    <sheet name="Juillet" sheetId="21" r:id="rId7"/>
    <sheet name="Août" sheetId="22" r:id="rId8"/>
    <sheet name="Septembre" sheetId="23" r:id="rId9"/>
    <sheet name="Octobre" sheetId="24" r:id="rId10"/>
    <sheet name="Novembre" sheetId="25" r:id="rId11"/>
    <sheet name="Décembre" sheetId="15" r:id="rId12"/>
    <sheet name="Janvier 2026" sheetId="27" r:id="rId13"/>
    <sheet name="Fevrier 2026" sheetId="29" r:id="rId14"/>
    <sheet name="Mars 2026" sheetId="31" r:id="rId15"/>
    <sheet name="Avril 2026" sheetId="30" r:id="rId16"/>
    <sheet name="Mai 2026" sheetId="28" r:id="rId17"/>
    <sheet name="Juin 2026" sheetId="26" r:id="rId18"/>
    <sheet name="Juillet 2026" sheetId="32" r:id="rId19"/>
    <sheet name="Août 2026" sheetId="33" r:id="rId20"/>
    <sheet name="Septembre 2026" sheetId="34" r:id="rId21"/>
    <sheet name="Octobre 2026" sheetId="35" r:id="rId22"/>
    <sheet name="Novembre 2026" sheetId="36" r:id="rId23"/>
    <sheet name="Décembre 2026" sheetId="37" r:id="rId24"/>
    <sheet name="Janvier 2027" sheetId="38" r:id="rId25"/>
    <sheet name="Fevrier 2027" sheetId="39" r:id="rId26"/>
    <sheet name="Mars 2027" sheetId="41" r:id="rId27"/>
    <sheet name="Avril 2027" sheetId="42" r:id="rId28"/>
    <sheet name="Mai 2027" sheetId="43" r:id="rId29"/>
    <sheet name="Juin 2027" sheetId="44" r:id="rId30"/>
  </sheets>
  <definedNames>
    <definedName name="CalendarYear">Janvier!$AH$6</definedName>
    <definedName name="CléCongé">Janvier!$C$4</definedName>
    <definedName name="CléMaladie">Janvier!$J$4</definedName>
    <definedName name="CléPersonnalisée1">Janvier!$N$4</definedName>
    <definedName name="CléPersonnalisée2">Janvier!$S$4</definedName>
    <definedName name="CléPersonnel">Janvier!$F$4</definedName>
    <definedName name="ÉtiquetteCléCongé">Janvier!$D$4</definedName>
    <definedName name="ÉtiquetteCléMaladie">Janvier!$K$4</definedName>
    <definedName name="ÉtiquetteCléPersonnalisée1">Janvier!$O$4</definedName>
    <definedName name="ÉtiquetteCléPersonnalisée2">Janvier!$T$4</definedName>
    <definedName name="ÉtiquetteCléPersonnel">Janvier!$G$4</definedName>
    <definedName name="_xlnm.Print_Titles" localSheetId="7">Août!$6:$8</definedName>
    <definedName name="_xlnm.Print_Titles" localSheetId="19">'Août 2026'!$6:$8</definedName>
    <definedName name="_xlnm.Print_Titles" localSheetId="3">Avril!$7:$9</definedName>
    <definedName name="_xlnm.Print_Titles" localSheetId="15">'Avril 2026'!$6:$8</definedName>
    <definedName name="_xlnm.Print_Titles" localSheetId="27">'Avril 2027'!$6:$8</definedName>
    <definedName name="_xlnm.Print_Titles" localSheetId="11">Décembre!$6:$8</definedName>
    <definedName name="_xlnm.Print_Titles" localSheetId="23">'Décembre 2026'!$6:$8</definedName>
    <definedName name="_xlnm.Print_Titles" localSheetId="1">Février!$6:$8</definedName>
    <definedName name="_xlnm.Print_Titles" localSheetId="13">'Fevrier 2026'!$6:$8</definedName>
    <definedName name="_xlnm.Print_Titles" localSheetId="25">'Fevrier 2027'!$6:$8</definedName>
    <definedName name="_xlnm.Print_Titles" localSheetId="0">Janvier!$6:$8</definedName>
    <definedName name="_xlnm.Print_Titles" localSheetId="12">'Janvier 2026'!$6:$8</definedName>
    <definedName name="_xlnm.Print_Titles" localSheetId="24">'Janvier 2027'!$6:$8</definedName>
    <definedName name="_xlnm.Print_Titles" localSheetId="6">Juillet!$7:$8</definedName>
    <definedName name="_xlnm.Print_Titles" localSheetId="18">'Juillet 2026'!$7:$8</definedName>
    <definedName name="_xlnm.Print_Titles" localSheetId="5">Juin!$6:$8</definedName>
    <definedName name="_xlnm.Print_Titles" localSheetId="17">'Juin 2026'!$6:$8</definedName>
    <definedName name="_xlnm.Print_Titles" localSheetId="29">'Juin 2027'!$6:$8</definedName>
    <definedName name="_xlnm.Print_Titles" localSheetId="4">Mai!$4:$6</definedName>
    <definedName name="_xlnm.Print_Titles" localSheetId="16">'Mai 2026'!$6:$8</definedName>
    <definedName name="_xlnm.Print_Titles" localSheetId="28">'Mai 2027'!$6:$8</definedName>
    <definedName name="_xlnm.Print_Titles" localSheetId="2">Mars!$6:$8</definedName>
    <definedName name="_xlnm.Print_Titles" localSheetId="14">'Mars 2026'!$6:$8</definedName>
    <definedName name="_xlnm.Print_Titles" localSheetId="26">'Mars 2027'!$6:$8</definedName>
    <definedName name="_xlnm.Print_Titles" localSheetId="10">Novembre!$6:$8</definedName>
    <definedName name="_xlnm.Print_Titles" localSheetId="22">'Novembre 2026'!$6:$8</definedName>
    <definedName name="_xlnm.Print_Titles" localSheetId="9">Octobre!$6:$8</definedName>
    <definedName name="_xlnm.Print_Titles" localSheetId="21">'Octobre 2026'!$6:$8</definedName>
    <definedName name="_xlnm.Print_Titles" localSheetId="8">Septembre!$6:$8</definedName>
    <definedName name="_xlnm.Print_Titles" localSheetId="20">'Septembre 2026'!$6:$8</definedName>
    <definedName name="Janvier2027" localSheetId="27">Janvier[[#Headers],[Materiel Comité]]</definedName>
    <definedName name="Janvier2027" localSheetId="25">Janvier[[#Headers],[Materiel Comité]]</definedName>
    <definedName name="Janvier2027" localSheetId="29">Janvier[[#Headers],[Materiel Comité]]</definedName>
    <definedName name="Janvier2027" localSheetId="28">Janvier[[#Headers],[Materiel Comité]]</definedName>
    <definedName name="Janvier2027" localSheetId="26">Janvier[[#Headers],[Materiel Comité]]</definedName>
    <definedName name="Janvier2027">Janvier[[#Headers],[Materiel Comité]]</definedName>
    <definedName name="Nom_clé">Janvier!$B$4</definedName>
    <definedName name="NomMois" localSheetId="7">Août!$B$2</definedName>
    <definedName name="NomMois" localSheetId="19">'Août 2026'!$B$2</definedName>
    <definedName name="NomMois" localSheetId="3">Avril!$B$2</definedName>
    <definedName name="NomMois" localSheetId="15">'Avril 2026'!$B$2</definedName>
    <definedName name="NomMois" localSheetId="27">'Avril 2027'!$B$2</definedName>
    <definedName name="NomMois" localSheetId="11">Décembre!$B$2</definedName>
    <definedName name="NomMois" localSheetId="23">'Décembre 2026'!$B$2</definedName>
    <definedName name="NomMois" localSheetId="1">Février!$B$2</definedName>
    <definedName name="NomMois" localSheetId="13">'Fevrier 2026'!$B$2</definedName>
    <definedName name="NomMois" localSheetId="25">'Fevrier 2027'!$B$2</definedName>
    <definedName name="NomMois" localSheetId="0">Janvier!$B$2</definedName>
    <definedName name="NomMois" localSheetId="12">'Janvier 2026'!$B$2</definedName>
    <definedName name="NomMois" localSheetId="24">'Janvier 2027'!$B$2</definedName>
    <definedName name="NomMois" localSheetId="6">Juillet!$B$2</definedName>
    <definedName name="NomMois" localSheetId="18">'Juillet 2026'!$B$2</definedName>
    <definedName name="NomMois" localSheetId="5">Juin!$B$2</definedName>
    <definedName name="NomMois" localSheetId="17">'Juin 2026'!$B$2</definedName>
    <definedName name="NomMois" localSheetId="29">'Juin 2027'!$B$2</definedName>
    <definedName name="NomMois" localSheetId="4">Mai!$B$4</definedName>
    <definedName name="NomMois" localSheetId="16">'Mai 2026'!$B$2</definedName>
    <definedName name="NomMois" localSheetId="28">'Mai 2027'!$B$2</definedName>
    <definedName name="NomMois" localSheetId="2">Mars!$B$2</definedName>
    <definedName name="NomMois" localSheetId="14">'Mars 2026'!$B$2</definedName>
    <definedName name="NomMois" localSheetId="26">'Mars 2027'!$B$2</definedName>
    <definedName name="NomMois" localSheetId="10">Novembre!$B$2</definedName>
    <definedName name="NomMois" localSheetId="22">'Novembre 2026'!$B$2</definedName>
    <definedName name="NomMois" localSheetId="9">Octobre!$B$2</definedName>
    <definedName name="NomMois" localSheetId="21">'Octobre 2026'!$B$2</definedName>
    <definedName name="NomMois" localSheetId="8">Septembre!$B$2</definedName>
    <definedName name="NomMois" localSheetId="20">'Septembre 2026'!$B$2</definedName>
    <definedName name="Titre_Absence_Employé">Janvier!$B$1</definedName>
    <definedName name="Titre1" localSheetId="19">Janvier[[#Headers],[Materiel Comité]]</definedName>
    <definedName name="Titre1" localSheetId="15">Janvier[[#Headers],[Materiel Comité]]</definedName>
    <definedName name="Titre1" localSheetId="27">Janvier[[#Headers],[Materiel Comité]]</definedName>
    <definedName name="Titre1" localSheetId="23">Janvier[[#Headers],[Materiel Comité]]</definedName>
    <definedName name="Titre1" localSheetId="13">Janvier[[#Headers],[Materiel Comité]]</definedName>
    <definedName name="Titre1" localSheetId="25">Janvier[[#Headers],[Materiel Comité]]</definedName>
    <definedName name="Titre1" localSheetId="12">Janvier[[#Headers],[Materiel Comité]]</definedName>
    <definedName name="Titre1" localSheetId="24">Janvier[[#Headers],[Materiel Comité]]</definedName>
    <definedName name="Titre1" localSheetId="18">Janvier[[#Headers],[Materiel Comité]]</definedName>
    <definedName name="Titre1" localSheetId="17">Janvier[[#Headers],[Materiel Comité]]</definedName>
    <definedName name="Titre1" localSheetId="29">Janvier[[#Headers],[Materiel Comité]]</definedName>
    <definedName name="Titre1" localSheetId="16">Janvier[[#Headers],[Materiel Comité]]</definedName>
    <definedName name="Titre1" localSheetId="28">Janvier[[#Headers],[Materiel Comité]]</definedName>
    <definedName name="Titre1" localSheetId="14">Janvier[[#Headers],[Materiel Comité]]</definedName>
    <definedName name="Titre1" localSheetId="26">Janvier[[#Headers],[Materiel Comité]]</definedName>
    <definedName name="Titre1" localSheetId="22">Janvier[[#Headers],[Materiel Comité]]</definedName>
    <definedName name="Titre1" localSheetId="21">Janvier[[#Headers],[Materiel Comité]]</definedName>
    <definedName name="Titre1" localSheetId="20">Janvier[[#Headers],[Materiel Comité]]</definedName>
    <definedName name="Titre1">Janvier[[#Headers],[Materiel Comité]]</definedName>
    <definedName name="Titre10" localSheetId="19">Octobre[[#Headers],[Materiel Comité]]</definedName>
    <definedName name="Titre10" localSheetId="15">Octobre[[#Headers],[Materiel Comité]]</definedName>
    <definedName name="Titre10" localSheetId="27">Octobre[[#Headers],[Materiel Comité]]</definedName>
    <definedName name="Titre10" localSheetId="23">Octobre[[#Headers],[Materiel Comité]]</definedName>
    <definedName name="Titre10" localSheetId="13">Octobre[[#Headers],[Materiel Comité]]</definedName>
    <definedName name="Titre10" localSheetId="25">Octobre[[#Headers],[Materiel Comité]]</definedName>
    <definedName name="Titre10" localSheetId="12">Octobre[[#Headers],[Materiel Comité]]</definedName>
    <definedName name="Titre10" localSheetId="24">Octobre[[#Headers],[Materiel Comité]]</definedName>
    <definedName name="Titre10" localSheetId="18">Octobre[[#Headers],[Materiel Comité]]</definedName>
    <definedName name="Titre10" localSheetId="17">Octobre[[#Headers],[Materiel Comité]]</definedName>
    <definedName name="Titre10" localSheetId="29">Octobre[[#Headers],[Materiel Comité]]</definedName>
    <definedName name="Titre10" localSheetId="16">Octobre[[#Headers],[Materiel Comité]]</definedName>
    <definedName name="Titre10" localSheetId="28">Octobre[[#Headers],[Materiel Comité]]</definedName>
    <definedName name="Titre10" localSheetId="14">Octobre[[#Headers],[Materiel Comité]]</definedName>
    <definedName name="Titre10" localSheetId="26">Octobre[[#Headers],[Materiel Comité]]</definedName>
    <definedName name="Titre10" localSheetId="22">Octobre[[#Headers],[Materiel Comité]]</definedName>
    <definedName name="Titre10" localSheetId="21">Octobre[[#Headers],[Materiel Comité]]</definedName>
    <definedName name="Titre10" localSheetId="20">Octobre[[#Headers],[Materiel Comité]]</definedName>
    <definedName name="Titre10">Octobre[[#Headers],[Materiel Comité]]</definedName>
    <definedName name="Titre11" localSheetId="19">Novembre[[#Headers],[Materiel Comité]]</definedName>
    <definedName name="Titre11" localSheetId="15">Novembre[[#Headers],[Materiel Comité]]</definedName>
    <definedName name="Titre11" localSheetId="27">Novembre[[#Headers],[Materiel Comité]]</definedName>
    <definedName name="Titre11" localSheetId="23">Novembre[[#Headers],[Materiel Comité]]</definedName>
    <definedName name="Titre11" localSheetId="13">Novembre[[#Headers],[Materiel Comité]]</definedName>
    <definedName name="Titre11" localSheetId="25">Novembre[[#Headers],[Materiel Comité]]</definedName>
    <definedName name="Titre11" localSheetId="12">Novembre[[#Headers],[Materiel Comité]]</definedName>
    <definedName name="Titre11" localSheetId="24">Novembre[[#Headers],[Materiel Comité]]</definedName>
    <definedName name="Titre11" localSheetId="18">Novembre[[#Headers],[Materiel Comité]]</definedName>
    <definedName name="Titre11" localSheetId="17">Novembre[[#Headers],[Materiel Comité]]</definedName>
    <definedName name="Titre11" localSheetId="29">Novembre[[#Headers],[Materiel Comité]]</definedName>
    <definedName name="Titre11" localSheetId="16">Novembre[[#Headers],[Materiel Comité]]</definedName>
    <definedName name="Titre11" localSheetId="28">Novembre[[#Headers],[Materiel Comité]]</definedName>
    <definedName name="Titre11" localSheetId="14">Novembre[[#Headers],[Materiel Comité]]</definedName>
    <definedName name="Titre11" localSheetId="26">Novembre[[#Headers],[Materiel Comité]]</definedName>
    <definedName name="Titre11" localSheetId="22">Novembre[[#Headers],[Materiel Comité]]</definedName>
    <definedName name="Titre11" localSheetId="21">Novembre[[#Headers],[Materiel Comité]]</definedName>
    <definedName name="Titre11" localSheetId="20">Novembre[[#Headers],[Materiel Comité]]</definedName>
    <definedName name="Titre11">Novembre[[#Headers],[Materiel Comité]]</definedName>
    <definedName name="Titre12" localSheetId="19">Décembre[[#Headers],[Materiel Comité]]</definedName>
    <definedName name="Titre12" localSheetId="15">Décembre[[#Headers],[Materiel Comité]]</definedName>
    <definedName name="Titre12" localSheetId="27">Décembre[[#Headers],[Materiel Comité]]</definedName>
    <definedName name="Titre12" localSheetId="23">Décembre[[#Headers],[Materiel Comité]]</definedName>
    <definedName name="Titre12" localSheetId="13">Décembre[[#Headers],[Materiel Comité]]</definedName>
    <definedName name="Titre12" localSheetId="25">Décembre[[#Headers],[Materiel Comité]]</definedName>
    <definedName name="Titre12" localSheetId="12">Décembre[[#Headers],[Materiel Comité]]</definedName>
    <definedName name="Titre12" localSheetId="24">Décembre[[#Headers],[Materiel Comité]]</definedName>
    <definedName name="Titre12" localSheetId="18">Décembre[[#Headers],[Materiel Comité]]</definedName>
    <definedName name="Titre12" localSheetId="17">Décembre[[#Headers],[Materiel Comité]]</definedName>
    <definedName name="Titre12" localSheetId="29">Décembre[[#Headers],[Materiel Comité]]</definedName>
    <definedName name="Titre12" localSheetId="16">Décembre[[#Headers],[Materiel Comité]]</definedName>
    <definedName name="Titre12" localSheetId="28">Décembre[[#Headers],[Materiel Comité]]</definedName>
    <definedName name="Titre12" localSheetId="14">Décembre[[#Headers],[Materiel Comité]]</definedName>
    <definedName name="Titre12" localSheetId="26">Décembre[[#Headers],[Materiel Comité]]</definedName>
    <definedName name="Titre12" localSheetId="22">Décembre[[#Headers],[Materiel Comité]]</definedName>
    <definedName name="Titre12" localSheetId="21">Décembre[[#Headers],[Materiel Comité]]</definedName>
    <definedName name="Titre12" localSheetId="20">Décembre[[#Headers],[Materiel Comité]]</definedName>
    <definedName name="Titre12">Décembre[[#Headers],[Materiel Comité]]</definedName>
    <definedName name="Titre2" localSheetId="19">Février[[#Headers],[Materiel Comité]]</definedName>
    <definedName name="Titre2" localSheetId="15">Février[[#Headers],[Materiel Comité]]</definedName>
    <definedName name="Titre2" localSheetId="27">Février[[#Headers],[Materiel Comité]]</definedName>
    <definedName name="Titre2" localSheetId="23">Février[[#Headers],[Materiel Comité]]</definedName>
    <definedName name="Titre2" localSheetId="13">Février[[#Headers],[Materiel Comité]]</definedName>
    <definedName name="Titre2" localSheetId="25">Février[[#Headers],[Materiel Comité]]</definedName>
    <definedName name="Titre2" localSheetId="12">Février[[#Headers],[Materiel Comité]]</definedName>
    <definedName name="Titre2" localSheetId="24">Février[[#Headers],[Materiel Comité]]</definedName>
    <definedName name="Titre2" localSheetId="18">Février[[#Headers],[Materiel Comité]]</definedName>
    <definedName name="Titre2" localSheetId="17">Février[[#Headers],[Materiel Comité]]</definedName>
    <definedName name="Titre2" localSheetId="29">Février[[#Headers],[Materiel Comité]]</definedName>
    <definedName name="Titre2" localSheetId="16">Février[[#Headers],[Materiel Comité]]</definedName>
    <definedName name="Titre2" localSheetId="28">Février[[#Headers],[Materiel Comité]]</definedName>
    <definedName name="Titre2" localSheetId="14">Février[[#Headers],[Materiel Comité]]</definedName>
    <definedName name="Titre2" localSheetId="26">Février[[#Headers],[Materiel Comité]]</definedName>
    <definedName name="Titre2" localSheetId="22">Février[[#Headers],[Materiel Comité]]</definedName>
    <definedName name="Titre2" localSheetId="21">Février[[#Headers],[Materiel Comité]]</definedName>
    <definedName name="Titre2" localSheetId="20">Février[[#Headers],[Materiel Comité]]</definedName>
    <definedName name="Titre2">Février[[#Headers],[Materiel Comité]]</definedName>
    <definedName name="Titre3" localSheetId="19">Mars[[#Headers],[Materiel Comité]]</definedName>
    <definedName name="Titre3" localSheetId="15">Mars[[#Headers],[Materiel Comité]]</definedName>
    <definedName name="Titre3" localSheetId="27">Mars[[#Headers],[Materiel Comité]]</definedName>
    <definedName name="Titre3" localSheetId="23">Mars[[#Headers],[Materiel Comité]]</definedName>
    <definedName name="Titre3" localSheetId="13">Mars[[#Headers],[Materiel Comité]]</definedName>
    <definedName name="Titre3" localSheetId="25">Mars[[#Headers],[Materiel Comité]]</definedName>
    <definedName name="Titre3" localSheetId="12">Mars[[#Headers],[Materiel Comité]]</definedName>
    <definedName name="Titre3" localSheetId="24">Mars[[#Headers],[Materiel Comité]]</definedName>
    <definedName name="Titre3" localSheetId="18">Mars[[#Headers],[Materiel Comité]]</definedName>
    <definedName name="Titre3" localSheetId="17">Mars[[#Headers],[Materiel Comité]]</definedName>
    <definedName name="Titre3" localSheetId="29">Mars[[#Headers],[Materiel Comité]]</definedName>
    <definedName name="Titre3" localSheetId="16">Mars[[#Headers],[Materiel Comité]]</definedName>
    <definedName name="Titre3" localSheetId="28">Mars[[#Headers],[Materiel Comité]]</definedName>
    <definedName name="Titre3" localSheetId="14">Mars[[#Headers],[Materiel Comité]]</definedName>
    <definedName name="Titre3" localSheetId="26">Mars[[#Headers],[Materiel Comité]]</definedName>
    <definedName name="Titre3" localSheetId="22">Mars[[#Headers],[Materiel Comité]]</definedName>
    <definedName name="Titre3" localSheetId="21">Mars[[#Headers],[Materiel Comité]]</definedName>
    <definedName name="Titre3" localSheetId="20">Mars[[#Headers],[Materiel Comité]]</definedName>
    <definedName name="Titre3">Mars[[#Headers],[Materiel Comité]]</definedName>
    <definedName name="Titre4" localSheetId="19">March5[[#Headers],[Materiel Comité]]</definedName>
    <definedName name="Titre4" localSheetId="15">March5[[#Headers],[Materiel Comité]]</definedName>
    <definedName name="Titre4" localSheetId="27">March5[[#Headers],[Materiel Comité]]</definedName>
    <definedName name="Titre4" localSheetId="23">March5[[#Headers],[Materiel Comité]]</definedName>
    <definedName name="Titre4" localSheetId="13">March5[[#Headers],[Materiel Comité]]</definedName>
    <definedName name="Titre4" localSheetId="25">March5[[#Headers],[Materiel Comité]]</definedName>
    <definedName name="Titre4" localSheetId="12">March5[[#Headers],[Materiel Comité]]</definedName>
    <definedName name="Titre4" localSheetId="24">March5[[#Headers],[Materiel Comité]]</definedName>
    <definedName name="Titre4" localSheetId="18">March5[[#Headers],[Materiel Comité]]</definedName>
    <definedName name="Titre4" localSheetId="17">March5[[#Headers],[Materiel Comité]]</definedName>
    <definedName name="Titre4" localSheetId="29">March5[[#Headers],[Materiel Comité]]</definedName>
    <definedName name="Titre4" localSheetId="16">March5[[#Headers],[Materiel Comité]]</definedName>
    <definedName name="Titre4" localSheetId="28">March5[[#Headers],[Materiel Comité]]</definedName>
    <definedName name="Titre4" localSheetId="14">March5[[#Headers],[Materiel Comité]]</definedName>
    <definedName name="Titre4" localSheetId="26">March5[[#Headers],[Materiel Comité]]</definedName>
    <definedName name="Titre4" localSheetId="22">March5[[#Headers],[Materiel Comité]]</definedName>
    <definedName name="Titre4" localSheetId="21">March5[[#Headers],[Materiel Comité]]</definedName>
    <definedName name="Titre4" localSheetId="20">March5[[#Headers],[Materiel Comité]]</definedName>
    <definedName name="Titre4">March5[[#Headers],[Materiel Comité]]</definedName>
    <definedName name="Titre5" localSheetId="19">March58[[#Headers],[Materiel Comité]]</definedName>
    <definedName name="Titre5" localSheetId="15">March58[[#Headers],[Materiel Comité]]</definedName>
    <definedName name="Titre5" localSheetId="27">March58[[#Headers],[Materiel Comité]]</definedName>
    <definedName name="Titre5" localSheetId="23">March58[[#Headers],[Materiel Comité]]</definedName>
    <definedName name="Titre5" localSheetId="13">March58[[#Headers],[Materiel Comité]]</definedName>
    <definedName name="Titre5" localSheetId="25">March58[[#Headers],[Materiel Comité]]</definedName>
    <definedName name="Titre5" localSheetId="12">March58[[#Headers],[Materiel Comité]]</definedName>
    <definedName name="Titre5" localSheetId="24">March58[[#Headers],[Materiel Comité]]</definedName>
    <definedName name="Titre5" localSheetId="18">March58[[#Headers],[Materiel Comité]]</definedName>
    <definedName name="Titre5" localSheetId="17">March58[[#Headers],[Materiel Comité]]</definedName>
    <definedName name="Titre5" localSheetId="29">March58[[#Headers],[Materiel Comité]]</definedName>
    <definedName name="Titre5" localSheetId="16">March58[[#Headers],[Materiel Comité]]</definedName>
    <definedName name="Titre5" localSheetId="28">March58[[#Headers],[Materiel Comité]]</definedName>
    <definedName name="Titre5" localSheetId="14">March58[[#Headers],[Materiel Comité]]</definedName>
    <definedName name="Titre5" localSheetId="26">March58[[#Headers],[Materiel Comité]]</definedName>
    <definedName name="Titre5" localSheetId="22">March58[[#Headers],[Materiel Comité]]</definedName>
    <definedName name="Titre5" localSheetId="21">March58[[#Headers],[Materiel Comité]]</definedName>
    <definedName name="Titre5" localSheetId="20">March58[[#Headers],[Materiel Comité]]</definedName>
    <definedName name="Titre5">March58[[#Headers],[Materiel Comité]]</definedName>
    <definedName name="Titre6" localSheetId="19">Juin[[#Headers],[Materiel Comité]]</definedName>
    <definedName name="Titre6" localSheetId="15">Juin[[#Headers],[Materiel Comité]]</definedName>
    <definedName name="Titre6" localSheetId="27">Juin[[#Headers],[Materiel Comité]]</definedName>
    <definedName name="Titre6" localSheetId="23">Juin[[#Headers],[Materiel Comité]]</definedName>
    <definedName name="Titre6" localSheetId="13">Juin[[#Headers],[Materiel Comité]]</definedName>
    <definedName name="Titre6" localSheetId="25">Juin[[#Headers],[Materiel Comité]]</definedName>
    <definedName name="Titre6" localSheetId="12">Juin[[#Headers],[Materiel Comité]]</definedName>
    <definedName name="Titre6" localSheetId="24">Juin[[#Headers],[Materiel Comité]]</definedName>
    <definedName name="Titre6" localSheetId="18">Juin[[#Headers],[Materiel Comité]]</definedName>
    <definedName name="Titre6" localSheetId="17">Juin[[#Headers],[Materiel Comité]]</definedName>
    <definedName name="Titre6" localSheetId="29">Juin[[#Headers],[Materiel Comité]]</definedName>
    <definedName name="Titre6" localSheetId="16">Juin[[#Headers],[Materiel Comité]]</definedName>
    <definedName name="Titre6" localSheetId="28">Juin[[#Headers],[Materiel Comité]]</definedName>
    <definedName name="Titre6" localSheetId="14">Juin[[#Headers],[Materiel Comité]]</definedName>
    <definedName name="Titre6" localSheetId="26">Juin[[#Headers],[Materiel Comité]]</definedName>
    <definedName name="Titre6" localSheetId="22">Juin[[#Headers],[Materiel Comité]]</definedName>
    <definedName name="Titre6" localSheetId="21">Juin[[#Headers],[Materiel Comité]]</definedName>
    <definedName name="Titre6" localSheetId="20">Juin[[#Headers],[Materiel Comité]]</definedName>
    <definedName name="Titre6">Juin[[#Headers],[Materiel Comité]]</definedName>
    <definedName name="Titre7" localSheetId="19">Juillet[[#Headers],[Materiel Comité]]</definedName>
    <definedName name="Titre7" localSheetId="15">Juillet[[#Headers],[Materiel Comité]]</definedName>
    <definedName name="Titre7" localSheetId="27">Juillet[[#Headers],[Materiel Comité]]</definedName>
    <definedName name="Titre7" localSheetId="23">Juillet[[#Headers],[Materiel Comité]]</definedName>
    <definedName name="Titre7" localSheetId="13">Juillet[[#Headers],[Materiel Comité]]</definedName>
    <definedName name="Titre7" localSheetId="25">Juillet[[#Headers],[Materiel Comité]]</definedName>
    <definedName name="Titre7" localSheetId="12">Juillet[[#Headers],[Materiel Comité]]</definedName>
    <definedName name="Titre7" localSheetId="24">Juillet[[#Headers],[Materiel Comité]]</definedName>
    <definedName name="Titre7" localSheetId="18">Juillet[[#Headers],[Materiel Comité]]</definedName>
    <definedName name="Titre7" localSheetId="17">Juillet[[#Headers],[Materiel Comité]]</definedName>
    <definedName name="Titre7" localSheetId="29">Juillet[[#Headers],[Materiel Comité]]</definedName>
    <definedName name="Titre7" localSheetId="16">Juillet[[#Headers],[Materiel Comité]]</definedName>
    <definedName name="Titre7" localSheetId="28">Juillet[[#Headers],[Materiel Comité]]</definedName>
    <definedName name="Titre7" localSheetId="14">Juillet[[#Headers],[Materiel Comité]]</definedName>
    <definedName name="Titre7" localSheetId="26">Juillet[[#Headers],[Materiel Comité]]</definedName>
    <definedName name="Titre7" localSheetId="22">Juillet[[#Headers],[Materiel Comité]]</definedName>
    <definedName name="Titre7" localSheetId="21">Juillet[[#Headers],[Materiel Comité]]</definedName>
    <definedName name="Titre7" localSheetId="20">Juillet[[#Headers],[Materiel Comité]]</definedName>
    <definedName name="Titre7">Juillet[[#Headers],[Materiel Comité]]</definedName>
    <definedName name="Titre8" localSheetId="19">Août[[#Headers],[Materiel Comité]]</definedName>
    <definedName name="Titre8" localSheetId="15">Août[[#Headers],[Materiel Comité]]</definedName>
    <definedName name="Titre8" localSheetId="27">Août[[#Headers],[Materiel Comité]]</definedName>
    <definedName name="Titre8" localSheetId="23">Août[[#Headers],[Materiel Comité]]</definedName>
    <definedName name="Titre8" localSheetId="13">Août[[#Headers],[Materiel Comité]]</definedName>
    <definedName name="Titre8" localSheetId="25">Août[[#Headers],[Materiel Comité]]</definedName>
    <definedName name="Titre8" localSheetId="12">Août[[#Headers],[Materiel Comité]]</definedName>
    <definedName name="Titre8" localSheetId="24">Août[[#Headers],[Materiel Comité]]</definedName>
    <definedName name="Titre8" localSheetId="18">Août[[#Headers],[Materiel Comité]]</definedName>
    <definedName name="Titre8" localSheetId="17">Août[[#Headers],[Materiel Comité]]</definedName>
    <definedName name="Titre8" localSheetId="29">Août[[#Headers],[Materiel Comité]]</definedName>
    <definedName name="Titre8" localSheetId="16">Août[[#Headers],[Materiel Comité]]</definedName>
    <definedName name="Titre8" localSheetId="28">Août[[#Headers],[Materiel Comité]]</definedName>
    <definedName name="Titre8" localSheetId="14">Août[[#Headers],[Materiel Comité]]</definedName>
    <definedName name="Titre8" localSheetId="26">Août[[#Headers],[Materiel Comité]]</definedName>
    <definedName name="Titre8" localSheetId="22">Août[[#Headers],[Materiel Comité]]</definedName>
    <definedName name="Titre8" localSheetId="21">Août[[#Headers],[Materiel Comité]]</definedName>
    <definedName name="Titre8" localSheetId="20">Août[[#Headers],[Materiel Comité]]</definedName>
    <definedName name="Titre8">Août[[#Headers],[Materiel Comité]]</definedName>
    <definedName name="Titre9" localSheetId="19">Septembre[[#Headers],[Materiel Comité]]</definedName>
    <definedName name="Titre9" localSheetId="15">Septembre[[#Headers],[Materiel Comité]]</definedName>
    <definedName name="Titre9" localSheetId="27">Septembre[[#Headers],[Materiel Comité]]</definedName>
    <definedName name="Titre9" localSheetId="23">Septembre[[#Headers],[Materiel Comité]]</definedName>
    <definedName name="Titre9" localSheetId="13">Septembre[[#Headers],[Materiel Comité]]</definedName>
    <definedName name="Titre9" localSheetId="25">Septembre[[#Headers],[Materiel Comité]]</definedName>
    <definedName name="Titre9" localSheetId="12">Septembre[[#Headers],[Materiel Comité]]</definedName>
    <definedName name="Titre9" localSheetId="24">Septembre[[#Headers],[Materiel Comité]]</definedName>
    <definedName name="Titre9" localSheetId="18">Septembre[[#Headers],[Materiel Comité]]</definedName>
    <definedName name="Titre9" localSheetId="17">Septembre[[#Headers],[Materiel Comité]]</definedName>
    <definedName name="Titre9" localSheetId="29">Septembre[[#Headers],[Materiel Comité]]</definedName>
    <definedName name="Titre9" localSheetId="16">Septembre[[#Headers],[Materiel Comité]]</definedName>
    <definedName name="Titre9" localSheetId="28">Septembre[[#Headers],[Materiel Comité]]</definedName>
    <definedName name="Titre9" localSheetId="14">Septembre[[#Headers],[Materiel Comité]]</definedName>
    <definedName name="Titre9" localSheetId="26">Septembre[[#Headers],[Materiel Comité]]</definedName>
    <definedName name="Titre9" localSheetId="22">Septembre[[#Headers],[Materiel Comité]]</definedName>
    <definedName name="Titre9" localSheetId="21">Septembre[[#Headers],[Materiel Comité]]</definedName>
    <definedName name="Titre9" localSheetId="20">Septembre[[#Headers],[Materiel Comité]]</definedName>
    <definedName name="Titre9">Septembre[[#Headers],[Materiel Comité]]</definedName>
    <definedName name="TitreColonne13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6" i="44" l="1"/>
  <c r="AH6" i="43"/>
  <c r="AG6" i="42"/>
  <c r="AH16" i="41"/>
  <c r="AH15" i="41"/>
  <c r="AH14" i="41"/>
  <c r="AH13" i="41"/>
  <c r="AH12" i="41"/>
  <c r="AH11" i="41"/>
  <c r="AH10" i="41"/>
  <c r="AH9" i="41"/>
  <c r="AH6" i="41"/>
  <c r="AE10" i="39"/>
  <c r="AE11" i="39"/>
  <c r="AE12" i="39"/>
  <c r="AE13" i="39"/>
  <c r="AE14" i="39"/>
  <c r="AE15" i="39"/>
  <c r="AE16" i="39"/>
  <c r="AH9" i="36"/>
  <c r="AH9" i="38"/>
  <c r="AE6" i="39"/>
  <c r="AH6" i="38"/>
  <c r="AH16" i="38"/>
  <c r="AH15" i="38"/>
  <c r="AH14" i="38"/>
  <c r="AH13" i="38"/>
  <c r="AH12" i="38"/>
  <c r="AH11" i="38"/>
  <c r="AH10" i="38"/>
  <c r="AH15" i="27"/>
  <c r="AG7" i="37"/>
  <c r="AF7" i="37"/>
  <c r="AE7" i="37"/>
  <c r="AD7" i="37"/>
  <c r="AC7" i="37"/>
  <c r="AB7" i="37"/>
  <c r="AA7" i="37"/>
  <c r="Z7" i="37"/>
  <c r="Y7" i="37"/>
  <c r="X7" i="37"/>
  <c r="W7" i="37"/>
  <c r="V7" i="37"/>
  <c r="U7" i="37"/>
  <c r="T7" i="37"/>
  <c r="S7" i="37"/>
  <c r="R7" i="37"/>
  <c r="Q7" i="37"/>
  <c r="P7" i="37"/>
  <c r="O7" i="37"/>
  <c r="N7" i="37"/>
  <c r="M7" i="37"/>
  <c r="L7" i="37"/>
  <c r="K7" i="37"/>
  <c r="J7" i="37"/>
  <c r="I7" i="37"/>
  <c r="H7" i="37"/>
  <c r="G7" i="37"/>
  <c r="F7" i="37"/>
  <c r="E7" i="37"/>
  <c r="D7" i="37"/>
  <c r="C7" i="37"/>
  <c r="AF7" i="36"/>
  <c r="AE7" i="36"/>
  <c r="AD7" i="36"/>
  <c r="AC7" i="36"/>
  <c r="AB7" i="36"/>
  <c r="AA7" i="36"/>
  <c r="Z7" i="36"/>
  <c r="Y7" i="36"/>
  <c r="X7" i="36"/>
  <c r="W7" i="36"/>
  <c r="V7" i="36"/>
  <c r="U7" i="36"/>
  <c r="T7" i="36"/>
  <c r="S7" i="36"/>
  <c r="R7" i="36"/>
  <c r="Q7" i="36"/>
  <c r="P7" i="36"/>
  <c r="O7" i="36"/>
  <c r="N7" i="36"/>
  <c r="M7" i="36"/>
  <c r="L7" i="36"/>
  <c r="K7" i="36"/>
  <c r="J7" i="36"/>
  <c r="I7" i="36"/>
  <c r="H7" i="36"/>
  <c r="G7" i="36"/>
  <c r="F7" i="36"/>
  <c r="E7" i="36"/>
  <c r="D7" i="36"/>
  <c r="C7" i="36"/>
  <c r="AG7" i="35"/>
  <c r="AF7" i="35"/>
  <c r="AE7" i="35"/>
  <c r="AD7" i="35"/>
  <c r="AC7" i="35"/>
  <c r="AB7" i="35"/>
  <c r="AA7" i="35"/>
  <c r="Z7" i="35"/>
  <c r="Y7" i="35"/>
  <c r="X7" i="35"/>
  <c r="W7" i="35"/>
  <c r="V7" i="35"/>
  <c r="U7" i="35"/>
  <c r="T7" i="35"/>
  <c r="S7" i="35"/>
  <c r="R7" i="35"/>
  <c r="Q7" i="35"/>
  <c r="P7" i="35"/>
  <c r="O7" i="35"/>
  <c r="N7" i="35"/>
  <c r="M7" i="35"/>
  <c r="L7" i="35"/>
  <c r="K7" i="35"/>
  <c r="J7" i="35"/>
  <c r="I7" i="35"/>
  <c r="H7" i="35"/>
  <c r="G7" i="35"/>
  <c r="F7" i="35"/>
  <c r="E7" i="35"/>
  <c r="D7" i="35"/>
  <c r="C7" i="35"/>
  <c r="AF7" i="34"/>
  <c r="AE7" i="34"/>
  <c r="AD7" i="34"/>
  <c r="AC7" i="34"/>
  <c r="AB7" i="34"/>
  <c r="AA7" i="34"/>
  <c r="Z7" i="34"/>
  <c r="Y7" i="34"/>
  <c r="X7" i="34"/>
  <c r="W7" i="34"/>
  <c r="V7" i="34"/>
  <c r="U7" i="34"/>
  <c r="T7" i="34"/>
  <c r="S7" i="34"/>
  <c r="R7" i="34"/>
  <c r="Q7" i="34"/>
  <c r="P7" i="34"/>
  <c r="O7" i="34"/>
  <c r="N7" i="34"/>
  <c r="M7" i="34"/>
  <c r="L7" i="34"/>
  <c r="K7" i="34"/>
  <c r="J7" i="34"/>
  <c r="I7" i="34"/>
  <c r="H7" i="34"/>
  <c r="G7" i="34"/>
  <c r="F7" i="34"/>
  <c r="E7" i="34"/>
  <c r="D7" i="34"/>
  <c r="C7" i="34"/>
  <c r="AG7" i="33"/>
  <c r="AF7" i="33"/>
  <c r="AE7" i="33"/>
  <c r="AD7" i="33"/>
  <c r="AC7" i="33"/>
  <c r="AB7" i="33"/>
  <c r="AA7" i="33"/>
  <c r="Z7" i="33"/>
  <c r="Y7" i="33"/>
  <c r="X7" i="33"/>
  <c r="W7" i="33"/>
  <c r="V7" i="33"/>
  <c r="U7" i="33"/>
  <c r="T7" i="33"/>
  <c r="S7" i="33"/>
  <c r="R7" i="33"/>
  <c r="Q7" i="33"/>
  <c r="P7" i="33"/>
  <c r="O7" i="33"/>
  <c r="N7" i="33"/>
  <c r="M7" i="33"/>
  <c r="L7" i="33"/>
  <c r="K7" i="33"/>
  <c r="J7" i="33"/>
  <c r="I7" i="33"/>
  <c r="H7" i="33"/>
  <c r="G7" i="33"/>
  <c r="F7" i="33"/>
  <c r="E7" i="33"/>
  <c r="D7" i="33"/>
  <c r="C7" i="33"/>
  <c r="AG7" i="32"/>
  <c r="AF7" i="32"/>
  <c r="AE7" i="32"/>
  <c r="AD7" i="32"/>
  <c r="AC7" i="32"/>
  <c r="AB7" i="32"/>
  <c r="AA7" i="32"/>
  <c r="Z7" i="32"/>
  <c r="Y7" i="32"/>
  <c r="X7" i="32"/>
  <c r="W7" i="32"/>
  <c r="V7" i="32"/>
  <c r="U7" i="32"/>
  <c r="T7" i="32"/>
  <c r="S7" i="32"/>
  <c r="R7" i="32"/>
  <c r="Q7" i="32"/>
  <c r="P7" i="32"/>
  <c r="O7" i="32"/>
  <c r="N7" i="32"/>
  <c r="M7" i="32"/>
  <c r="L7" i="32"/>
  <c r="K7" i="32"/>
  <c r="J7" i="32"/>
  <c r="I7" i="32"/>
  <c r="H7" i="32"/>
  <c r="G7" i="32"/>
  <c r="F7" i="32"/>
  <c r="E7" i="32"/>
  <c r="D7" i="32"/>
  <c r="C7" i="32"/>
  <c r="AH16" i="37"/>
  <c r="AH15" i="37"/>
  <c r="AH14" i="37"/>
  <c r="AH13" i="37"/>
  <c r="AH12" i="37"/>
  <c r="AH11" i="37"/>
  <c r="AH10" i="37"/>
  <c r="AH9" i="37"/>
  <c r="AH6" i="37"/>
  <c r="AH16" i="36"/>
  <c r="AH15" i="36"/>
  <c r="AH14" i="36"/>
  <c r="AH13" i="36"/>
  <c r="AH12" i="36"/>
  <c r="AH11" i="36"/>
  <c r="AH10" i="36"/>
  <c r="AH6" i="36"/>
  <c r="AH16" i="35"/>
  <c r="AH15" i="35"/>
  <c r="AH14" i="35"/>
  <c r="AH13" i="35"/>
  <c r="AH12" i="35"/>
  <c r="AH11" i="35"/>
  <c r="AH10" i="35"/>
  <c r="AH9" i="35"/>
  <c r="AH6" i="35"/>
  <c r="AH16" i="34"/>
  <c r="AH15" i="34"/>
  <c r="AH14" i="34"/>
  <c r="AH13" i="34"/>
  <c r="AH12" i="34"/>
  <c r="AH11" i="34"/>
  <c r="AH10" i="34"/>
  <c r="AH9" i="34"/>
  <c r="AH6" i="34"/>
  <c r="AH16" i="33"/>
  <c r="AH15" i="33"/>
  <c r="AH14" i="33"/>
  <c r="AH13" i="33"/>
  <c r="AH12" i="33"/>
  <c r="AH11" i="33"/>
  <c r="AH10" i="33"/>
  <c r="AH9" i="33"/>
  <c r="AH6" i="33"/>
  <c r="AH16" i="32"/>
  <c r="AH15" i="32"/>
  <c r="AH14" i="32"/>
  <c r="AH13" i="32"/>
  <c r="AH12" i="32"/>
  <c r="AH11" i="32"/>
  <c r="AH10" i="32"/>
  <c r="AH9" i="32"/>
  <c r="AH6" i="32"/>
  <c r="J7" i="26"/>
  <c r="K7" i="26"/>
  <c r="L7" i="26"/>
  <c r="M7" i="26"/>
  <c r="N7" i="26"/>
  <c r="O7" i="26"/>
  <c r="P7" i="26"/>
  <c r="Q7" i="26"/>
  <c r="R7" i="26"/>
  <c r="S7" i="26"/>
  <c r="T7" i="26"/>
  <c r="U7" i="26"/>
  <c r="V7" i="26"/>
  <c r="W7" i="26"/>
  <c r="X7" i="26"/>
  <c r="Y7" i="26"/>
  <c r="Z7" i="26"/>
  <c r="AA7" i="26"/>
  <c r="AB7" i="26"/>
  <c r="AC7" i="26"/>
  <c r="AD7" i="26"/>
  <c r="AE7" i="26"/>
  <c r="AF7" i="26"/>
  <c r="I7" i="26"/>
  <c r="H7" i="26"/>
  <c r="G7" i="26"/>
  <c r="F7" i="26"/>
  <c r="E7" i="26"/>
  <c r="D7" i="26"/>
  <c r="C7" i="26"/>
  <c r="J7" i="28"/>
  <c r="K7" i="28"/>
  <c r="L7" i="28"/>
  <c r="M7" i="28"/>
  <c r="N7" i="28"/>
  <c r="O7" i="28"/>
  <c r="P7" i="28"/>
  <c r="Q7" i="28"/>
  <c r="R7" i="28"/>
  <c r="S7" i="28"/>
  <c r="T7" i="28"/>
  <c r="U7" i="28"/>
  <c r="V7" i="28"/>
  <c r="W7" i="28"/>
  <c r="X7" i="28"/>
  <c r="Y7" i="28"/>
  <c r="Z7" i="28"/>
  <c r="AA7" i="28"/>
  <c r="AB7" i="28"/>
  <c r="AC7" i="28"/>
  <c r="AD7" i="28"/>
  <c r="AE7" i="28"/>
  <c r="AF7" i="28"/>
  <c r="AG7" i="28"/>
  <c r="I7" i="28"/>
  <c r="H7" i="28"/>
  <c r="G7" i="28"/>
  <c r="F7" i="28"/>
  <c r="E7" i="28"/>
  <c r="D7" i="28"/>
  <c r="C7" i="28"/>
  <c r="J7" i="30"/>
  <c r="K7" i="30"/>
  <c r="L7" i="30"/>
  <c r="M7" i="30"/>
  <c r="N7" i="30"/>
  <c r="O7" i="30"/>
  <c r="P7" i="30"/>
  <c r="Q7" i="30"/>
  <c r="R7" i="30"/>
  <c r="S7" i="30"/>
  <c r="T7" i="30"/>
  <c r="U7" i="30"/>
  <c r="V7" i="30"/>
  <c r="W7" i="30"/>
  <c r="X7" i="30"/>
  <c r="Y7" i="30"/>
  <c r="Z7" i="30"/>
  <c r="AA7" i="30"/>
  <c r="AB7" i="30"/>
  <c r="AC7" i="30"/>
  <c r="AD7" i="30"/>
  <c r="AE7" i="30"/>
  <c r="AF7" i="30"/>
  <c r="I7" i="30"/>
  <c r="H7" i="30"/>
  <c r="G7" i="30"/>
  <c r="F7" i="30"/>
  <c r="E7" i="30"/>
  <c r="D7" i="30"/>
  <c r="C7" i="30"/>
  <c r="J7" i="31"/>
  <c r="K7" i="31"/>
  <c r="L7" i="31"/>
  <c r="M7" i="31"/>
  <c r="N7" i="31"/>
  <c r="O7" i="31"/>
  <c r="P7" i="31"/>
  <c r="Q7" i="31"/>
  <c r="R7" i="31"/>
  <c r="S7" i="31"/>
  <c r="T7" i="31"/>
  <c r="U7" i="31"/>
  <c r="V7" i="31"/>
  <c r="W7" i="31"/>
  <c r="X7" i="31"/>
  <c r="Y7" i="31"/>
  <c r="Z7" i="31"/>
  <c r="AA7" i="31"/>
  <c r="AB7" i="31"/>
  <c r="AC7" i="31"/>
  <c r="AD7" i="31"/>
  <c r="AE7" i="31"/>
  <c r="AF7" i="31"/>
  <c r="AG7" i="31"/>
  <c r="I7" i="31"/>
  <c r="H7" i="31"/>
  <c r="G7" i="31"/>
  <c r="F7" i="31"/>
  <c r="E7" i="31"/>
  <c r="D7" i="31"/>
  <c r="C7" i="31"/>
  <c r="J7" i="29"/>
  <c r="K7" i="29"/>
  <c r="L7" i="29"/>
  <c r="M7" i="29"/>
  <c r="N7" i="29"/>
  <c r="O7" i="29"/>
  <c r="P7" i="29"/>
  <c r="Q7" i="29"/>
  <c r="R7" i="29"/>
  <c r="S7" i="29"/>
  <c r="T7" i="29"/>
  <c r="U7" i="29"/>
  <c r="V7" i="29"/>
  <c r="W7" i="29"/>
  <c r="X7" i="29"/>
  <c r="Y7" i="29"/>
  <c r="Z7" i="29"/>
  <c r="AA7" i="29"/>
  <c r="AB7" i="29"/>
  <c r="AC7" i="29"/>
  <c r="AD7" i="29"/>
  <c r="I7" i="29"/>
  <c r="H7" i="29"/>
  <c r="G7" i="29"/>
  <c r="F7" i="29"/>
  <c r="E7" i="29"/>
  <c r="D7" i="29"/>
  <c r="C7" i="29"/>
  <c r="J7" i="27"/>
  <c r="K7" i="27"/>
  <c r="L7" i="27"/>
  <c r="M7" i="27"/>
  <c r="N7" i="27"/>
  <c r="O7" i="27"/>
  <c r="P7" i="27"/>
  <c r="Q7" i="27"/>
  <c r="R7" i="27"/>
  <c r="S7" i="27"/>
  <c r="T7" i="27"/>
  <c r="U7" i="27"/>
  <c r="V7" i="27"/>
  <c r="W7" i="27"/>
  <c r="X7" i="27"/>
  <c r="Y7" i="27"/>
  <c r="Z7" i="27"/>
  <c r="AA7" i="27"/>
  <c r="AB7" i="27"/>
  <c r="AC7" i="27"/>
  <c r="AD7" i="27"/>
  <c r="AE7" i="27"/>
  <c r="AF7" i="27"/>
  <c r="AG7" i="27"/>
  <c r="I7" i="27"/>
  <c r="H7" i="27"/>
  <c r="G7" i="27"/>
  <c r="F7" i="27"/>
  <c r="E7" i="27"/>
  <c r="D7" i="27"/>
  <c r="C7" i="27"/>
  <c r="AH6" i="27"/>
  <c r="AE6" i="29"/>
  <c r="AH6" i="31"/>
  <c r="AH6" i="30"/>
  <c r="AH6" i="28"/>
  <c r="AH6" i="26"/>
  <c r="AH16" i="31"/>
  <c r="AH15" i="31"/>
  <c r="AH14" i="31"/>
  <c r="AH13" i="31"/>
  <c r="AH12" i="31"/>
  <c r="AH11" i="31"/>
  <c r="AH10" i="31"/>
  <c r="AH9" i="31"/>
  <c r="AH16" i="30"/>
  <c r="AH15" i="30"/>
  <c r="AH14" i="30"/>
  <c r="AH13" i="30"/>
  <c r="AH12" i="30"/>
  <c r="AH11" i="30"/>
  <c r="AH10" i="30"/>
  <c r="AH9" i="30"/>
  <c r="AH16" i="28"/>
  <c r="AH15" i="28"/>
  <c r="AH14" i="28"/>
  <c r="AH13" i="28"/>
  <c r="AH12" i="28"/>
  <c r="AH11" i="28"/>
  <c r="AH10" i="28"/>
  <c r="AH9" i="28"/>
  <c r="AH16" i="27"/>
  <c r="AH14" i="27"/>
  <c r="AH13" i="27"/>
  <c r="AH12" i="27"/>
  <c r="AH11" i="27"/>
  <c r="AH10" i="27"/>
  <c r="AH9" i="27"/>
  <c r="AH16" i="26"/>
  <c r="AH15" i="26"/>
  <c r="AH14" i="26"/>
  <c r="AH13" i="26"/>
  <c r="AH12" i="26"/>
  <c r="AH11" i="26"/>
  <c r="AH10" i="26"/>
  <c r="AH9" i="26"/>
  <c r="AH12" i="15"/>
  <c r="AH12" i="25"/>
  <c r="AH12" i="24"/>
  <c r="AH12" i="23"/>
  <c r="AH12" i="22"/>
  <c r="AH12" i="21"/>
  <c r="AH12" i="19"/>
  <c r="AH12" i="18"/>
  <c r="AH12" i="17"/>
  <c r="AH12" i="5"/>
  <c r="AH12" i="4"/>
  <c r="AH12" i="20"/>
  <c r="AH16" i="15"/>
  <c r="AH16" i="25"/>
  <c r="AH16" i="24"/>
  <c r="AH16" i="23"/>
  <c r="AH16" i="22"/>
  <c r="AH16" i="21"/>
  <c r="AH16" i="19"/>
  <c r="AH16" i="18"/>
  <c r="AH16" i="17"/>
  <c r="AH16" i="5"/>
  <c r="AH16" i="4"/>
  <c r="AH16" i="20"/>
  <c r="AH15" i="15"/>
  <c r="AH15" i="25"/>
  <c r="AH15" i="24"/>
  <c r="AH15" i="23"/>
  <c r="AH15" i="22"/>
  <c r="AH15" i="21"/>
  <c r="AH15" i="20"/>
  <c r="AH15" i="19"/>
  <c r="AH15" i="18"/>
  <c r="AH15" i="17"/>
  <c r="AH15" i="5"/>
  <c r="AH15" i="4"/>
  <c r="AH14" i="4"/>
  <c r="AH13" i="4"/>
  <c r="AH10" i="4"/>
  <c r="AH9" i="4"/>
  <c r="AH11" i="4"/>
  <c r="AG7" i="15"/>
  <c r="AF7" i="15"/>
  <c r="AE7" i="15"/>
  <c r="AD7" i="15"/>
  <c r="AC7" i="15"/>
  <c r="AB7" i="15"/>
  <c r="AA7" i="15"/>
  <c r="Z7" i="15"/>
  <c r="Y7" i="15"/>
  <c r="X7" i="15"/>
  <c r="W7" i="15"/>
  <c r="V7" i="15"/>
  <c r="U7" i="15"/>
  <c r="T7" i="15"/>
  <c r="S7" i="15"/>
  <c r="R7" i="15"/>
  <c r="Q7" i="15"/>
  <c r="P7" i="15"/>
  <c r="O7" i="15"/>
  <c r="N7" i="15"/>
  <c r="M7" i="15"/>
  <c r="L7" i="15"/>
  <c r="K7" i="15"/>
  <c r="J7" i="15"/>
  <c r="I7" i="15"/>
  <c r="H7" i="15"/>
  <c r="G7" i="15"/>
  <c r="F7" i="15"/>
  <c r="E7" i="15"/>
  <c r="D7" i="15"/>
  <c r="C7" i="15"/>
  <c r="AF7" i="25"/>
  <c r="AE7" i="25"/>
  <c r="AD7" i="25"/>
  <c r="AC7" i="25"/>
  <c r="AB7" i="25"/>
  <c r="AA7" i="25"/>
  <c r="Z7" i="25"/>
  <c r="Y7" i="25"/>
  <c r="X7" i="25"/>
  <c r="W7" i="25"/>
  <c r="V7" i="25"/>
  <c r="U7" i="25"/>
  <c r="T7" i="25"/>
  <c r="S7" i="25"/>
  <c r="R7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AG7" i="24"/>
  <c r="AF7" i="24"/>
  <c r="AE7" i="24"/>
  <c r="AD7" i="24"/>
  <c r="AC7" i="24"/>
  <c r="AB7" i="24"/>
  <c r="AA7" i="24"/>
  <c r="Z7" i="24"/>
  <c r="Y7" i="24"/>
  <c r="X7" i="24"/>
  <c r="W7" i="24"/>
  <c r="V7" i="24"/>
  <c r="U7" i="24"/>
  <c r="T7" i="24"/>
  <c r="S7" i="24"/>
  <c r="R7" i="24"/>
  <c r="Q7" i="24"/>
  <c r="P7" i="24"/>
  <c r="O7" i="24"/>
  <c r="N7" i="24"/>
  <c r="M7" i="24"/>
  <c r="L7" i="24"/>
  <c r="K7" i="24"/>
  <c r="J7" i="24"/>
  <c r="I7" i="24"/>
  <c r="H7" i="24"/>
  <c r="G7" i="24"/>
  <c r="F7" i="24"/>
  <c r="E7" i="24"/>
  <c r="D7" i="24"/>
  <c r="C7" i="24"/>
  <c r="AF7" i="23"/>
  <c r="AE7" i="23"/>
  <c r="AD7" i="23"/>
  <c r="AC7" i="23"/>
  <c r="AB7" i="23"/>
  <c r="AA7" i="23"/>
  <c r="Z7" i="23"/>
  <c r="Y7" i="23"/>
  <c r="X7" i="23"/>
  <c r="W7" i="23"/>
  <c r="V7" i="23"/>
  <c r="U7" i="23"/>
  <c r="T7" i="23"/>
  <c r="S7" i="23"/>
  <c r="R7" i="23"/>
  <c r="Q7" i="23"/>
  <c r="P7" i="23"/>
  <c r="O7" i="23"/>
  <c r="N7" i="23"/>
  <c r="M7" i="23"/>
  <c r="L7" i="23"/>
  <c r="K7" i="23"/>
  <c r="J7" i="23"/>
  <c r="I7" i="23"/>
  <c r="H7" i="23"/>
  <c r="G7" i="23"/>
  <c r="F7" i="23"/>
  <c r="E7" i="23"/>
  <c r="D7" i="23"/>
  <c r="C7" i="23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AG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J7" i="21"/>
  <c r="I7" i="21"/>
  <c r="H7" i="21"/>
  <c r="G7" i="21"/>
  <c r="F7" i="21"/>
  <c r="E7" i="21"/>
  <c r="D7" i="21"/>
  <c r="C7" i="21"/>
  <c r="AF7" i="20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D7" i="20"/>
  <c r="C7" i="20"/>
  <c r="AG7" i="19"/>
  <c r="AF7" i="19"/>
  <c r="AE7" i="19"/>
  <c r="AD7" i="19"/>
  <c r="AC7" i="19"/>
  <c r="AB7" i="19"/>
  <c r="AA7" i="19"/>
  <c r="Z7" i="19"/>
  <c r="Y7" i="19"/>
  <c r="X7" i="19"/>
  <c r="W7" i="19"/>
  <c r="V7" i="19"/>
  <c r="U7" i="19"/>
  <c r="T7" i="19"/>
  <c r="S7" i="19"/>
  <c r="R7" i="19"/>
  <c r="Q7" i="19"/>
  <c r="P7" i="19"/>
  <c r="O7" i="19"/>
  <c r="N7" i="19"/>
  <c r="M7" i="19"/>
  <c r="L7" i="19"/>
  <c r="K7" i="19"/>
  <c r="J7" i="19"/>
  <c r="I7" i="19"/>
  <c r="H7" i="19"/>
  <c r="G7" i="19"/>
  <c r="F7" i="19"/>
  <c r="E7" i="19"/>
  <c r="D7" i="19"/>
  <c r="C7" i="19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C7" i="18"/>
  <c r="AG7" i="17"/>
  <c r="AF7" i="17"/>
  <c r="AE7" i="17"/>
  <c r="AD7" i="17"/>
  <c r="AC7" i="17"/>
  <c r="AB7" i="17"/>
  <c r="AA7" i="17"/>
  <c r="Z7" i="17"/>
  <c r="Y7" i="17"/>
  <c r="X7" i="17"/>
  <c r="W7" i="17"/>
  <c r="V7" i="17"/>
  <c r="U7" i="17"/>
  <c r="T7" i="17"/>
  <c r="S7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C7" i="4"/>
  <c r="AH6" i="15" l="1"/>
  <c r="AH6" i="25"/>
  <c r="AH6" i="24"/>
  <c r="AH6" i="23"/>
  <c r="AH6" i="22"/>
  <c r="AH6" i="21"/>
  <c r="AH6" i="20"/>
  <c r="AH14" i="19"/>
  <c r="AH13" i="19"/>
  <c r="AH11" i="19"/>
  <c r="AH10" i="19"/>
  <c r="AH9" i="19"/>
  <c r="AH6" i="19"/>
  <c r="AH14" i="18"/>
  <c r="AH13" i="18"/>
  <c r="AH11" i="18"/>
  <c r="AH10" i="18"/>
  <c r="AH9" i="18"/>
  <c r="AH6" i="18"/>
  <c r="AH6" i="17"/>
  <c r="AH14" i="25" l="1"/>
  <c r="AH13" i="25"/>
  <c r="AH11" i="25"/>
  <c r="AH10" i="25"/>
  <c r="AH9" i="25"/>
  <c r="AH14" i="24"/>
  <c r="AH13" i="24"/>
  <c r="AH11" i="24"/>
  <c r="AH10" i="24"/>
  <c r="AH9" i="24"/>
  <c r="AH14" i="23"/>
  <c r="AH13" i="23"/>
  <c r="AH11" i="23"/>
  <c r="AH10" i="23"/>
  <c r="AH9" i="23"/>
  <c r="AH14" i="22"/>
  <c r="AH13" i="22"/>
  <c r="AH11" i="22"/>
  <c r="AH10" i="22"/>
  <c r="AH9" i="22"/>
  <c r="AH14" i="21"/>
  <c r="AH13" i="21"/>
  <c r="AH11" i="21"/>
  <c r="AH10" i="21"/>
  <c r="AH9" i="21"/>
  <c r="AH14" i="20"/>
  <c r="AH13" i="20"/>
  <c r="AH11" i="20"/>
  <c r="AH10" i="20"/>
  <c r="AH9" i="20"/>
  <c r="AH14" i="17"/>
  <c r="AH13" i="17"/>
  <c r="AH11" i="17"/>
  <c r="AH10" i="17"/>
  <c r="AH9" i="17"/>
  <c r="AH6" i="5" l="1"/>
  <c r="AH9" i="15" l="1"/>
  <c r="AH10" i="15"/>
  <c r="AH11" i="15"/>
  <c r="AH13" i="15"/>
  <c r="AH14" i="15"/>
  <c r="AH14" i="5" l="1"/>
  <c r="AH13" i="5"/>
  <c r="AH11" i="5"/>
  <c r="AH10" i="5"/>
  <c r="AH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tc={04D2F831-FD44-4E77-AC4E-9D8EED7215BB}</author>
    <author>tc={644F4D3A-1BB5-4313-A24D-1492D82FA017}</author>
    <author>tc={57C4D6A7-2D44-467D-B773-9B0FE904743F}</author>
    <author>tc={53045CEF-4F8E-4200-9550-D20914E8AB3B}</author>
  </authors>
  <commentList>
    <comment ref="O9" authorId="0" shapeId="0" xr:uid="{04D2F831-FD44-4E77-AC4E-9D8EED7215BB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Mairie Voisins </t>
      </text>
    </comment>
    <comment ref="Y10" authorId="1" shapeId="0" xr:uid="{644F4D3A-1BB5-4313-A24D-1492D82FA01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Triel</t>
      </text>
    </comment>
    <comment ref="AG11" authorId="2" shapeId="0" xr:uid="{57C4D6A7-2D44-467D-B773-9B0FE904743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ARB</t>
      </text>
    </comment>
    <comment ref="AG13" authorId="3" shapeId="0" xr:uid="{53045CEF-4F8E-4200-9550-D20914E8AB3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ARB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X9" authorId="0" shapeId="0" xr:uid="{094B9AA8-B5EC-42C1-B897-4BB536BB4E13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Carrière Sur Seine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R9" authorId="0" shapeId="0" xr:uid="{D0371CC3-C732-44F8-BB6C-4F955A1C0DD9}">
      <text>
        <r>
          <rPr>
            <b/>
            <sz val="11"/>
            <color indexed="81"/>
            <rFont val="Calibri"/>
            <family val="2"/>
          </rPr>
          <t>Mybad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U9" authorId="0" shapeId="0" xr:uid="{97DCEA8B-A835-4E72-8CD7-C6947B755EBC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USSA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L9" authorId="0" shapeId="0" xr:uid="{2009377A-893E-47E2-8C4A-8CFF8A3EA40C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Maurepas</t>
        </r>
      </text>
    </comment>
    <comment ref="AG9" authorId="0" shapeId="0" xr:uid="{68ECE976-7023-4FCB-A37F-E29FAEA42741}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CBS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tc={9D1D6BE1-167A-4714-BE06-C329DF368927}</author>
    <author>tc={032F9FAC-2280-426B-91D6-43909087F1B3}</author>
    <author>tc={CBCFA78D-6D4B-4035-B9A2-542E5901E1DE}</author>
    <author>tc={424752BC-9B58-492E-AD6A-3370B85E6C3C}</author>
    <author>tc={B4FA7936-43CE-4894-9751-4F05B568C37D}</author>
    <author>tc={F6A41874-1DF6-4D8A-8210-7DE1E9F9F886}</author>
    <author>tc={4A9E93E3-E4B1-481E-B00C-7EB9FB31C87D}</author>
    <author>tc={1CEEAE77-320C-46F2-B5F6-CBD0BCCFBA74}</author>
    <author>tc={9F11A741-117A-4DEA-855C-08359E269238}</author>
    <author>tc={74F77E57-1691-4B5C-9132-25600FA08262}</author>
    <author>tc={C1491A58-7437-45F0-BAB2-417E15D36661}</author>
  </authors>
  <commentList>
    <comment ref="N10" authorId="0" shapeId="0" xr:uid="{9D1D6BE1-167A-4714-BE06-C329DF36892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CBS</t>
      </text>
    </comment>
    <comment ref="W10" authorId="1" shapeId="0" xr:uid="{032F9FAC-2280-426B-91D6-43909087F1B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VB</t>
      </text>
    </comment>
    <comment ref="C11" authorId="2" shapeId="0" xr:uid="{CBCFA78D-6D4B-4035-B9A2-542E5901E1D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ARB</t>
      </text>
    </comment>
    <comment ref="O11" authorId="3" shapeId="0" xr:uid="{424752BC-9B58-492E-AD6A-3370B85E6C3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MB</t>
      </text>
    </comment>
    <comment ref="O12" authorId="4" shapeId="0" xr:uid="{B4FA7936-43CE-4894-9751-4F05B568C37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MB</t>
      </text>
    </comment>
    <comment ref="C13" authorId="5" shapeId="0" xr:uid="{F6A41874-1DF6-4D8A-8210-7DE1E9F9F88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ARB</t>
      </text>
    </comment>
    <comment ref="O13" authorId="6" shapeId="0" xr:uid="{4A9E93E3-E4B1-481E-B00C-7EB9FB31C87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MB</t>
      </text>
    </comment>
    <comment ref="O14" authorId="7" shapeId="0" xr:uid="{1CEEAE77-320C-46F2-B5F6-CBD0BCCFBA7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MB</t>
      </text>
    </comment>
    <comment ref="N15" authorId="8" shapeId="0" xr:uid="{9F11A741-117A-4DEA-855C-08359E26923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CBS</t>
      </text>
    </comment>
    <comment ref="W15" authorId="9" shapeId="0" xr:uid="{74F77E57-1691-4B5C-9132-25600FA082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VB</t>
      </text>
    </comment>
    <comment ref="V16" authorId="10" shapeId="0" xr:uid="{C1491A58-7437-45F0-BAB2-417E15D3666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BCRL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tc={B35C2E9A-43D7-46D0-979C-0F273256D1AF}</author>
  </authors>
  <commentList>
    <comment ref="S9" authorId="0" shapeId="0" xr:uid="{B35C2E9A-43D7-46D0-979C-0F273256D1A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MYBAD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W9" authorId="0" shapeId="0" xr:uid="{F2CEF69C-FC79-4885-BA2A-69324683EF07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USSA</t>
        </r>
      </text>
    </comment>
    <comment ref="AD9" authorId="0" shapeId="0" xr:uid="{4C8CB111-4A0E-4D6B-851D-B8BF2CE9CDAE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USSA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G9" authorId="0" shapeId="0" xr:uid="{C77C3479-235F-4BA1-9743-8BDEDE1707A3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Les Cyr Volants le samedi
Mairie de Montigny le vendredi</t>
        </r>
      </text>
    </comment>
    <comment ref="N9" authorId="0" shapeId="0" xr:uid="{E1C028AC-5CCF-49E8-BA33-8E5857F97AAC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Rambouillet
</t>
        </r>
      </text>
    </comment>
    <comment ref="T9" authorId="0" shapeId="0" xr:uid="{35C5303C-4597-44EF-AF75-CF5A3F06E39D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BML</t>
        </r>
      </text>
    </comment>
    <comment ref="G13" authorId="0" shapeId="0" xr:uid="{469BB16C-A4A5-4966-A55B-401C4C47FF56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Les Cyr Volants</t>
        </r>
      </text>
    </comment>
    <comment ref="T14" authorId="0" shapeId="0" xr:uid="{49639CE2-6F03-41F8-A099-DEC4FB1AE13D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BML</t>
        </r>
      </text>
    </comment>
    <comment ref="C15" authorId="0" shapeId="0" xr:uid="{4923745C-CFBA-458F-B7E6-DD0C108793B3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Elancourt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K9" authorId="0" shapeId="0" xr:uid="{ED363A7F-C2F0-449C-B24D-DCF600202794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LE Perray</t>
        </r>
      </text>
    </comment>
    <comment ref="L9" authorId="0" shapeId="0" xr:uid="{209ADF20-C4C0-427C-A298-B85BDD972E89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Elancourt LVE</t>
        </r>
      </text>
    </comment>
    <comment ref="R9" authorId="0" shapeId="0" xr:uid="{A742176F-9D61-413E-B60D-FB36523AAC1C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CBS</t>
        </r>
      </text>
    </comment>
    <comment ref="S9" authorId="0" shapeId="0" xr:uid="{6ABA17A4-760A-4DEB-9C4D-A51941EA790E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Maurepas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G9" authorId="0" shapeId="0" xr:uid="{5DC7B862-3184-46E7-ACC1-D6CF8AA0EECB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ESS
</t>
        </r>
      </text>
    </comment>
    <comment ref="K9" authorId="0" shapeId="0" xr:uid="{98C3008A-30A6-4300-88D2-9919CE8B1BF4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ESS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P9" authorId="0" shapeId="0" xr:uid="{ED64EA47-7A77-4D73-A352-36091B5A7925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Chambourcy</t>
        </r>
      </text>
    </comment>
    <comment ref="AC9" authorId="0" shapeId="0" xr:uid="{1F00F878-6608-4D85-BA29-26D7DA2BA99A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Magny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Y13" authorId="0" shapeId="0" xr:uid="{0A5B9E7F-5811-4D99-B9AE-938203F3F0C3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BML</t>
        </r>
      </text>
    </comment>
    <comment ref="E16" authorId="0" shapeId="0" xr:uid="{19159FA0-229B-42BF-952B-E3573EC193F0}">
      <text>
        <r>
          <rPr>
            <b/>
            <sz val="11"/>
            <color theme="0"/>
            <rFont val="Calibri"/>
            <family val="2"/>
          </rPr>
          <t>Auteur:</t>
        </r>
        <r>
          <rPr>
            <sz val="11"/>
            <color theme="0"/>
            <rFont val="Calibri"/>
            <family val="2"/>
          </rPr>
          <t xml:space="preserve">
Saint Arnoult
</t>
        </r>
      </text>
    </comment>
  </commentList>
</comments>
</file>

<file path=xl/sharedStrings.xml><?xml version="1.0" encoding="utf-8"?>
<sst xmlns="http://schemas.openxmlformats.org/spreadsheetml/2006/main" count="1782" uniqueCount="69">
  <si>
    <t>Janvier</t>
  </si>
  <si>
    <t>R</t>
  </si>
  <si>
    <t>Réservé</t>
  </si>
  <si>
    <t>C</t>
  </si>
  <si>
    <t>Comité</t>
  </si>
  <si>
    <t>Dates de réservation materiel Comité 78</t>
  </si>
  <si>
    <t>Materiel Comité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</si>
  <si>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</si>
  <si>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</si>
  <si>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</si>
  <si>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</si>
  <si>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</si>
  <si>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</si>
  <si>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</si>
  <si>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</si>
  <si>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</si>
  <si>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</si>
  <si>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</si>
  <si>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</si>
  <si>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</si>
  <si>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</si>
  <si>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</si>
  <si>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</si>
  <si>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</si>
  <si>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</si>
  <si>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</si>
  <si>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</si>
  <si>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</si>
  <si>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</si>
  <si>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</si>
  <si>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</si>
  <si>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</si>
  <si>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</si>
  <si>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</si>
  <si>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</si>
  <si>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</si>
  <si>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</si>
  <si>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</si>
  <si>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Nombre de location</t>
  </si>
  <si>
    <t>Blackminton</t>
  </si>
  <si>
    <t>Structure Gonflable</t>
  </si>
  <si>
    <t>Machine Croque-Monsieur</t>
  </si>
  <si>
    <t>Machine Gaufre</t>
  </si>
  <si>
    <t>Machine hot-dog</t>
  </si>
  <si>
    <t>Sono</t>
  </si>
  <si>
    <t>Machine a volants</t>
  </si>
  <si>
    <t>Tablette scoring</t>
  </si>
  <si>
    <t>Février</t>
  </si>
  <si>
    <t xml:space="preserve"> </t>
  </si>
  <si>
    <t xml:space="preserve">  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</si>
  <si>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</si>
  <si>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</si>
  <si>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</si>
  <si>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</si>
  <si>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</si>
  <si>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</si>
  <si>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</si>
  <si>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</si>
  <si>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</si>
  <si>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</si>
  <si>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c</t>
  </si>
  <si>
    <t>Lun.</t>
  </si>
  <si>
    <t>Mar.</t>
  </si>
  <si>
    <t>Mer.</t>
  </si>
  <si>
    <t>Jeu.</t>
  </si>
  <si>
    <t>Ven.</t>
  </si>
  <si>
    <t>Sam.</t>
  </si>
  <si>
    <t>Dim.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</si>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</sst>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0;0;"/>
    <numFmt numFmtId="169" formatCode="ddd"/>
  </numFmts>
  <fonts count="38">
    <font>
      <sz val="11"/>
      <color theme="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72"/>
      <color theme="6" tint="0.3999755851924192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4" tint="9.9948118533890809E-2"/>
      <name val="Calibri"/>
      <family val="2"/>
      <scheme val="minor"/>
    </font>
    <font>
      <b/>
      <sz val="72"/>
      <color theme="4" tint="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72"/>
      <color theme="7" tint="-0.249977111117893"/>
      <name val="Calibri"/>
      <family val="2"/>
      <scheme val="minor"/>
    </font>
    <font>
      <b/>
      <sz val="72"/>
      <color theme="8" tint="-0.249977111117893"/>
      <name val="Calibri"/>
      <family val="2"/>
      <scheme val="minor"/>
    </font>
    <font>
      <sz val="11"/>
      <color theme="1"/>
      <name val="Calibri"/>
      <family val="2"/>
      <charset val="134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sz val="11"/>
      <color theme="0"/>
      <name val="Calibri"/>
      <family val="2"/>
      <charset val="134"/>
    </font>
    <font>
      <sz val="11"/>
      <color rgb="FF9C0006"/>
      <name val="Calibri"/>
      <family val="2"/>
      <charset val="134"/>
    </font>
    <font>
      <b/>
      <sz val="11"/>
      <color rgb="FFFA7D00"/>
      <name val="Calibri"/>
      <family val="2"/>
      <charset val="134"/>
    </font>
    <font>
      <b/>
      <sz val="11"/>
      <color theme="0"/>
      <name val="Calibri"/>
      <family val="2"/>
      <charset val="134"/>
    </font>
    <font>
      <sz val="11"/>
      <color theme="4" tint="-0.499984740745262"/>
      <name val="Calibri"/>
      <family val="2"/>
    </font>
    <font>
      <i/>
      <sz val="11"/>
      <color rgb="FF7F7F7F"/>
      <name val="Calibri"/>
      <family val="2"/>
      <charset val="134"/>
    </font>
    <font>
      <sz val="11"/>
      <color rgb="FF006100"/>
      <name val="Calibri"/>
      <family val="2"/>
      <charset val="134"/>
    </font>
    <font>
      <b/>
      <sz val="26"/>
      <color theme="3" tint="-0.24994659260841701"/>
      <name val="Calibri"/>
      <family val="2"/>
    </font>
    <font>
      <b/>
      <sz val="18"/>
      <color theme="4" tint="-0.24994659260841701"/>
      <name val="Calibri"/>
      <family val="2"/>
    </font>
    <font>
      <sz val="11"/>
      <color rgb="FF3F3F76"/>
      <name val="Calibri"/>
      <family val="2"/>
      <charset val="134"/>
    </font>
    <font>
      <sz val="11"/>
      <color rgb="FFFA7D00"/>
      <name val="Calibri"/>
      <family val="2"/>
      <charset val="134"/>
    </font>
    <font>
      <sz val="11"/>
      <color rgb="FF9C5700"/>
      <name val="Calibri"/>
      <family val="2"/>
      <charset val="134"/>
    </font>
    <font>
      <b/>
      <sz val="11"/>
      <color rgb="FF3F3F3F"/>
      <name val="Calibri"/>
      <family val="2"/>
      <charset val="134"/>
    </font>
    <font>
      <b/>
      <sz val="26"/>
      <color theme="3"/>
      <name val="Calibri"/>
      <family val="2"/>
    </font>
    <font>
      <sz val="11"/>
      <color rgb="FFFF0000"/>
      <name val="Calibri"/>
      <family val="2"/>
      <charset val="134"/>
    </font>
    <font>
      <sz val="9"/>
      <name val="DengXian"/>
      <family val="3"/>
      <charset val="134"/>
    </font>
    <font>
      <b/>
      <sz val="11"/>
      <color rgb="FF000000"/>
      <name val="Calibri"/>
      <family val="2"/>
    </font>
    <font>
      <b/>
      <sz val="11"/>
      <color theme="0"/>
      <name val="Calibri"/>
      <family val="2"/>
    </font>
    <font>
      <sz val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E3E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horizontal="left" vertical="center"/>
    </xf>
    <xf numFmtId="0" fontId="29" fillId="0" borderId="0" applyNumberFormat="0" applyFill="0" applyBorder="0" applyProtection="0">
      <alignment vertical="top"/>
    </xf>
    <xf numFmtId="0" fontId="23" fillId="0" borderId="0" applyNumberFormat="0" applyFill="0" applyBorder="0" applyProtection="0">
      <alignment vertical="top"/>
    </xf>
    <xf numFmtId="0" fontId="24" fillId="2" borderId="0" applyNumberFormat="0" applyBorder="0" applyProtection="0">
      <alignment horizontal="center" vertical="center"/>
    </xf>
    <xf numFmtId="0" fontId="14" fillId="20" borderId="0" applyNumberFormat="0" applyProtection="0">
      <alignment horizontal="right" vertical="center" indent="1"/>
    </xf>
    <xf numFmtId="0" fontId="13" fillId="0" borderId="0" applyNumberFormat="0" applyFill="0" applyBorder="0" applyProtection="0">
      <alignment horizontal="left" vertical="center" indent="2"/>
    </xf>
    <xf numFmtId="0" fontId="15" fillId="3" borderId="0" applyNumberFormat="0" applyBorder="0" applyAlignment="0" applyProtection="0"/>
    <xf numFmtId="0" fontId="13" fillId="4" borderId="0" applyNumberFormat="0" applyBorder="0" applyProtection="0">
      <alignment horizontal="center" vertical="center"/>
    </xf>
    <xf numFmtId="0" fontId="14" fillId="9" borderId="0" applyNumberFormat="0" applyBorder="0" applyAlignment="0" applyProtection="0"/>
    <xf numFmtId="0" fontId="13" fillId="5" borderId="0" applyNumberFormat="0" applyBorder="0" applyAlignment="0" applyProtection="0"/>
    <xf numFmtId="0" fontId="15" fillId="7" borderId="0" applyNumberFormat="0" applyBorder="0" applyAlignment="0" applyProtection="0"/>
    <xf numFmtId="0" fontId="13" fillId="6" borderId="0" applyNumberFormat="0" applyBorder="0" applyAlignment="0" applyProtection="0"/>
    <xf numFmtId="0" fontId="14" fillId="15" borderId="0" applyNumberFormat="0" applyBorder="0" applyAlignment="0" applyProtection="0"/>
    <xf numFmtId="0" fontId="13" fillId="8" borderId="0" applyNumberFormat="0" applyBorder="0" applyAlignment="0" applyProtection="0"/>
    <xf numFmtId="0" fontId="15" fillId="15" borderId="0" applyNumberFormat="0" applyBorder="0" applyAlignment="0" applyProtection="0"/>
    <xf numFmtId="0" fontId="13" fillId="18" borderId="0" applyNumberFormat="0" applyBorder="0" applyAlignment="0" applyProtection="0"/>
    <xf numFmtId="0" fontId="14" fillId="17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3" fillId="2" borderId="0" applyNumberFormat="0" applyBorder="0" applyAlignment="0" applyProtection="0"/>
    <xf numFmtId="0" fontId="14" fillId="12" borderId="0" applyNumberFormat="0" applyBorder="0" applyProtection="0">
      <alignment horizontal="left" vertical="center" indent="1"/>
    </xf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1" fontId="13" fillId="0" borderId="0" applyFill="0" applyBorder="0" applyProtection="0">
      <alignment horizontal="center" vertical="center"/>
    </xf>
    <xf numFmtId="0" fontId="13" fillId="0" borderId="0" applyNumberFormat="0" applyFill="0" applyBorder="0">
      <alignment horizontal="left" vertical="center" wrapText="1" indent="2"/>
    </xf>
    <xf numFmtId="0" fontId="20" fillId="0" borderId="0">
      <alignment horizontal="center"/>
    </xf>
    <xf numFmtId="165" fontId="15" fillId="0" borderId="0" applyFont="0" applyFill="0" applyBorder="0" applyAlignment="0" applyProtection="0">
      <alignment vertical="center"/>
    </xf>
    <xf numFmtId="164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25" borderId="5" applyNumberFormat="0" applyAlignment="0" applyProtection="0">
      <alignment vertical="center"/>
    </xf>
    <xf numFmtId="0" fontId="28" fillId="26" borderId="6" applyNumberFormat="0" applyAlignment="0" applyProtection="0">
      <alignment vertical="center"/>
    </xf>
    <xf numFmtId="0" fontId="18" fillId="26" borderId="5" applyNumberFormat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28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3">
    <xf numFmtId="0" fontId="0" fillId="0" borderId="0" xfId="0">
      <alignment horizontal="left" vertical="center"/>
    </xf>
    <xf numFmtId="0" fontId="0" fillId="0" borderId="0" xfId="0" applyAlignment="1">
      <alignment horizontal="center" vertical="center"/>
    </xf>
    <xf numFmtId="0" fontId="13" fillId="0" borderId="0" xfId="26" applyFill="1" applyBorder="1">
      <alignment horizontal="left" vertical="center" wrapText="1" indent="2"/>
    </xf>
    <xf numFmtId="1" fontId="13" fillId="0" borderId="0" xfId="25" applyFill="1" applyBorder="1" applyProtection="1">
      <alignment horizontal="center" vertical="center"/>
    </xf>
    <xf numFmtId="0" fontId="24" fillId="0" borderId="0" xfId="3" applyFill="1" applyProtection="1">
      <alignment horizontal="center" vertical="center"/>
    </xf>
    <xf numFmtId="0" fontId="14" fillId="0" borderId="0" xfId="4" applyFill="1" applyAlignment="1" applyProtection="1">
      <alignment horizontal="left" vertical="center" indent="1"/>
    </xf>
    <xf numFmtId="0" fontId="0" fillId="0" borderId="1" xfId="0" applyBorder="1">
      <alignment horizontal="left" vertical="center"/>
    </xf>
    <xf numFmtId="0" fontId="29" fillId="0" borderId="2" xfId="1" applyBorder="1" applyAlignment="1" applyProtection="1">
      <alignment vertical="center"/>
    </xf>
    <xf numFmtId="0" fontId="0" fillId="0" borderId="2" xfId="0" applyBorder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4" xfId="0" applyBorder="1">
      <alignment horizontal="left" vertical="center"/>
    </xf>
    <xf numFmtId="0" fontId="20" fillId="0" borderId="4" xfId="27" applyBorder="1">
      <alignment horizontal="center"/>
    </xf>
    <xf numFmtId="0" fontId="3" fillId="0" borderId="0" xfId="0" applyFont="1" applyAlignment="1">
      <alignment horizontal="center" vertical="center"/>
    </xf>
    <xf numFmtId="0" fontId="13" fillId="0" borderId="0" xfId="21" applyFill="1" applyBorder="1" applyAlignment="1" applyProtection="1">
      <alignment horizontal="left" vertical="center" indent="1"/>
    </xf>
    <xf numFmtId="0" fontId="2" fillId="0" borderId="0" xfId="0" applyFont="1" applyAlignment="1">
      <alignment horizontal="center" vertical="center"/>
    </xf>
    <xf numFmtId="0" fontId="13" fillId="21" borderId="0" xfId="21" applyFill="1" applyBorder="1" applyAlignment="1" applyProtection="1">
      <alignment horizontal="center" vertical="center"/>
    </xf>
    <xf numFmtId="0" fontId="5" fillId="0" borderId="0" xfId="3" applyFont="1" applyFill="1" applyAlignment="1" applyProtection="1">
      <alignment horizontal="left" vertical="top"/>
    </xf>
    <xf numFmtId="0" fontId="7" fillId="0" borderId="0" xfId="1" applyFont="1" applyAlignment="1" applyProtection="1">
      <alignment horizontal="left" indent="1"/>
    </xf>
    <xf numFmtId="0" fontId="8" fillId="0" borderId="0" xfId="3" applyFont="1" applyFill="1" applyAlignment="1" applyProtection="1">
      <alignment vertical="top"/>
    </xf>
    <xf numFmtId="0" fontId="8" fillId="0" borderId="0" xfId="3" applyFont="1" applyFill="1" applyAlignment="1" applyProtection="1">
      <alignment horizontal="left" vertical="top"/>
    </xf>
    <xf numFmtId="0" fontId="9" fillId="15" borderId="0" xfId="12" applyFont="1" applyAlignment="1" applyProtection="1">
      <alignment horizontal="center" vertical="center"/>
    </xf>
    <xf numFmtId="0" fontId="10" fillId="0" borderId="0" xfId="3" applyFont="1" applyFill="1" applyAlignment="1" applyProtection="1">
      <alignment horizontal="left" vertical="top"/>
    </xf>
    <xf numFmtId="0" fontId="11" fillId="0" borderId="0" xfId="3" applyFont="1" applyFill="1" applyAlignment="1" applyProtection="1">
      <alignment horizontal="left" vertical="top"/>
    </xf>
    <xf numFmtId="0" fontId="11" fillId="0" borderId="0" xfId="3" applyFont="1" applyFill="1" applyAlignment="1" applyProtection="1">
      <alignment vertical="top"/>
    </xf>
    <xf numFmtId="0" fontId="13" fillId="0" borderId="0" xfId="21" applyFill="1" applyAlignment="1" applyProtection="1">
      <alignment vertical="center"/>
    </xf>
    <xf numFmtId="1" fontId="13" fillId="0" borderId="0" xfId="25">
      <alignment horizontal="center" vertical="center"/>
    </xf>
    <xf numFmtId="1" fontId="13" fillId="0" borderId="0" xfId="25" applyProtection="1">
      <alignment horizontal="center" vertical="center"/>
    </xf>
    <xf numFmtId="166" fontId="4" fillId="0" borderId="0" xfId="24" applyNumberFormat="1" applyFont="1" applyFill="1" applyAlignment="1" applyProtection="1">
      <alignment horizontal="center" vertical="center"/>
    </xf>
    <xf numFmtId="166" fontId="4" fillId="0" borderId="0" xfId="8" applyNumberFormat="1" applyFont="1" applyFill="1" applyAlignment="1" applyProtection="1">
      <alignment horizontal="center" vertical="center"/>
    </xf>
    <xf numFmtId="0" fontId="9" fillId="0" borderId="0" xfId="23" applyFont="1" applyFill="1" applyAlignment="1" applyProtection="1">
      <alignment horizontal="center" vertical="center"/>
    </xf>
    <xf numFmtId="1" fontId="3" fillId="0" borderId="0" xfId="25" applyFont="1" applyProtection="1">
      <alignment horizontal="center" vertical="center"/>
    </xf>
    <xf numFmtId="0" fontId="9" fillId="34" borderId="0" xfId="19" applyFont="1" applyFill="1" applyAlignment="1" applyProtection="1">
      <alignment horizontal="center" vertical="center"/>
    </xf>
    <xf numFmtId="0" fontId="13" fillId="0" borderId="0" xfId="26" applyNumberFormat="1" applyFill="1" applyBorder="1">
      <alignment horizontal="left" vertical="center" wrapText="1" indent="2"/>
    </xf>
    <xf numFmtId="0" fontId="24" fillId="0" borderId="0" xfId="3" applyFill="1" applyAlignment="1" applyProtection="1">
      <alignment horizontal="left" vertical="center"/>
    </xf>
    <xf numFmtId="0" fontId="24" fillId="0" borderId="0" xfId="3" applyFill="1" applyAlignment="1" applyProtection="1">
      <alignment horizontal="left" vertical="center"/>
    </xf>
    <xf numFmtId="0" fontId="14" fillId="0" borderId="0" xfId="21" applyFont="1" applyFill="1" applyAlignment="1" applyProtection="1">
      <alignment horizontal="left" vertical="center" indent="1"/>
    </xf>
    <xf numFmtId="0" fontId="13" fillId="0" borderId="0" xfId="21" applyFill="1" applyAlignment="1" applyProtection="1">
      <alignment horizontal="left" vertical="center" indent="1"/>
    </xf>
    <xf numFmtId="0" fontId="32" fillId="0" borderId="0" xfId="21" applyFont="1" applyFill="1" applyAlignment="1" applyProtection="1">
      <alignment horizontal="left" vertical="center" indent="1"/>
    </xf>
    <xf numFmtId="169" fontId="2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/>
    </xf>
  </cellXfs>
  <cellStyles count="49">
    <cellStyle name="20 % - Accent1" xfId="15" builtinId="30" customBuiltin="1"/>
    <cellStyle name="20 % - Accent2" xfId="44" builtinId="34" customBuiltin="1"/>
    <cellStyle name="20 % - Accent3" xfId="21" builtinId="38" customBuiltin="1"/>
    <cellStyle name="20 % - Accent4" xfId="7" builtinId="42" customBuiltin="1"/>
    <cellStyle name="20 % - Accent5" xfId="47" builtinId="46" customBuiltin="1"/>
    <cellStyle name="20 % - Accent6" xfId="11" builtinId="50" customBuiltin="1"/>
    <cellStyle name="40 % - Accent1" xfId="16" builtinId="31" customBuiltin="1"/>
    <cellStyle name="40 % - Accent2" xfId="19" builtinId="35" customBuiltin="1"/>
    <cellStyle name="40 % - Accent3" xfId="22" builtinId="39" customBuiltin="1"/>
    <cellStyle name="40 % - Accent4" xfId="8" builtinId="43" customBuiltin="1"/>
    <cellStyle name="40 % - Accent5" xfId="24" builtinId="47" customBuiltin="1"/>
    <cellStyle name="40 % - Accent6" xfId="12" builtinId="51" customBuiltin="1"/>
    <cellStyle name="60 % - Accent1" xfId="17" builtinId="32" customBuiltin="1"/>
    <cellStyle name="60 % - Accent2" xfId="45" builtinId="36" customBuiltin="1"/>
    <cellStyle name="60 % - Accent3" xfId="23" builtinId="40" customBuiltin="1"/>
    <cellStyle name="60 % - Accent4" xfId="9" builtinId="44" customBuiltin="1"/>
    <cellStyle name="60 % - Accent5" xfId="48" builtinId="48" customBuiltin="1"/>
    <cellStyle name="60 % - Accent6" xfId="13" builtinId="52" customBuiltin="1"/>
    <cellStyle name="Accent1" xfId="14" builtinId="29" customBuiltin="1"/>
    <cellStyle name="Accent2" xfId="18" builtinId="33" customBuiltin="1"/>
    <cellStyle name="Accent3" xfId="20" builtinId="37" customBuiltin="1"/>
    <cellStyle name="Accent4" xfId="6" builtinId="41" customBuiltin="1"/>
    <cellStyle name="Accent5" xfId="46" builtinId="45" customBuiltin="1"/>
    <cellStyle name="Accent6" xfId="10" builtinId="49" customBuiltin="1"/>
    <cellStyle name="Avertissement" xfId="41" builtinId="11" customBuiltin="1"/>
    <cellStyle name="Calcul" xfId="38" builtinId="22" customBuiltin="1"/>
    <cellStyle name="Cellule liée" xfId="39" builtinId="24" customBuiltin="1"/>
    <cellStyle name="Employé" xfId="26" xr:uid="{00000000-0005-0000-0000-000013000000}"/>
    <cellStyle name="Entrée" xfId="36" builtinId="20" customBuiltin="1"/>
    <cellStyle name="Étiquette" xfId="27" xr:uid="{00000000-0005-0000-0000-000018000000}"/>
    <cellStyle name="Insatisfaisant" xfId="34" builtinId="27" customBuiltin="1"/>
    <cellStyle name="Milliers" xfId="28" builtinId="3" customBuiltin="1"/>
    <cellStyle name="Milliers [0]" xfId="29" builtinId="6" customBuiltin="1"/>
    <cellStyle name="Monétaire" xfId="30" builtinId="4" customBuiltin="1"/>
    <cellStyle name="Monétaire [0]" xfId="31" builtinId="7" customBuiltin="1"/>
    <cellStyle name="Neutre" xfId="35" builtinId="28" customBuiltin="1"/>
    <cellStyle name="Normal" xfId="0" builtinId="0" customBuiltin="1"/>
    <cellStyle name="Note" xfId="42" builtinId="10" customBuiltin="1"/>
    <cellStyle name="Pourcentage" xfId="32" builtinId="5" customBuiltin="1"/>
    <cellStyle name="Satisfaisant" xfId="33" builtinId="26" customBuiltin="1"/>
    <cellStyle name="Sortie" xfId="37" builtinId="21" customBuiltin="1"/>
    <cellStyle name="Texte explicatif" xfId="43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25" builtinId="25" customBuiltin="1"/>
    <cellStyle name="Vérification" xfId="40" builtinId="23" customBuiltin="1"/>
  </cellStyles>
  <dxfs count="2157"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 val="0"/>
        <i val="0"/>
        <color theme="3"/>
      </font>
      <border>
        <vertical/>
        <horizontal/>
      </border>
    </dxf>
    <dxf>
      <font>
        <color theme="0"/>
      </font>
      <border>
        <vertical/>
        <horizontal/>
      </border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alignment horizontal="left" vertical="center" textRotation="0" wrapText="0" indent="1" justifyLastLine="0" shrinkToFit="0" readingOrder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alignment horizontal="left" vertical="center" textRotation="0" wrapText="0" indent="1" justifyLastLine="0" shrinkToFit="0" readingOrder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alignment horizontal="left" vertical="center" textRotation="0" wrapText="0" indent="1" justifyLastLine="0" shrinkToFit="0" readingOrder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alignment horizontal="left" vertical="center" textRotation="0" wrapText="0" indent="1" justifyLastLine="0" shrinkToFit="0" readingOrder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" formatCode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alignment horizontal="left" vertical="center" textRotation="0" wrapText="0" indent="1" justifyLastLine="0" shrinkToFit="0" readingOrder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alignment horizontal="left" vertical="center" textRotation="0" wrapText="0" indent="1" justifyLastLine="0" shrinkToFit="0" readingOrder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protection locked="1" hidden="0"/>
    </dxf>
    <dxf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fill>
        <patternFill patternType="none">
          <fgColor indexed="64"/>
          <bgColor indexed="65"/>
        </patternFill>
      </fill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numFmt numFmtId="166" formatCode="0;0;"/>
      <alignment horizontal="center" vertical="center" textRotation="0" wrapText="0" indent="0" justifyLastLine="0" shrinkToFit="0" readingOrder="0"/>
    </dxf>
    <dxf>
      <protection locked="1" hidden="0"/>
    </dxf>
    <dxf>
      <alignment horizontal="left" vertical="center" textRotation="0" wrapText="0" indent="1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protection locked="1" hidden="0"/>
    </dxf>
    <dxf>
      <protection locked="1" hidden="0"/>
    </dxf>
    <dxf>
      <protection locked="1" hidden="0"/>
    </dxf>
    <dxf>
      <alignment horizontal="center" vertical="center" textRotation="0" wrapText="0" indent="0" justifyLastLine="0" shrinkToFit="0" readingOrder="0"/>
    </dxf>
    <dxf>
      <fill>
        <patternFill patternType="solid">
          <bgColor theme="5" tint="0.39994506668294322"/>
        </patternFill>
      </fill>
      <border diagonalUp="0" diagonalDown="0">
        <left/>
        <right/>
        <top style="thin">
          <color theme="5" tint="0.59996337778862885"/>
        </top>
        <bottom style="thick">
          <color theme="5"/>
        </bottom>
        <vertical style="thick">
          <color theme="0"/>
        </vertical>
        <horizontal style="thin">
          <color theme="5" tint="0.59996337778862885"/>
        </horizontal>
      </border>
    </dxf>
    <dxf>
      <font>
        <color theme="1"/>
      </font>
      <fill>
        <patternFill patternType="solid">
          <bgColor theme="5" tint="0.39994506668294322"/>
        </patternFill>
      </fill>
      <border diagonalUp="0" diagonalDown="0">
        <left/>
        <right/>
        <top style="thin">
          <color theme="5" tint="0.59996337778862885"/>
        </top>
        <bottom style="thick">
          <color theme="5"/>
        </bottom>
        <vertical style="thick">
          <color theme="0"/>
        </vertical>
        <horizontal style="thin">
          <color theme="5" tint="0.59996337778862885"/>
        </horizontal>
      </border>
    </dxf>
    <dxf>
      <font>
        <color theme="1"/>
      </font>
      <fill>
        <patternFill patternType="solid">
          <bgColor theme="2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3743705557422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  <top style="thick">
          <color theme="5" tint="0.59996337778862885"/>
        </top>
        <bottom style="thick">
          <color theme="5" tint="0.59996337778862885"/>
        </bottom>
        <vertical style="thin">
          <color theme="0"/>
        </vertical>
        <horizontal style="thick">
          <color theme="5" tint="0.59996337778862885"/>
        </horizontal>
      </border>
    </dxf>
    <dxf>
      <fill>
        <patternFill>
          <bgColor theme="5" tint="0.79998168889431442"/>
        </patternFill>
      </fill>
      <border>
        <top style="thick">
          <color theme="0"/>
        </top>
        <bottom style="thick">
          <color theme="0"/>
        </bottom>
        <horizontal style="thick">
          <color theme="0"/>
        </horizontal>
      </border>
    </dxf>
    <dxf>
      <fill>
        <patternFill patternType="none">
          <fgColor auto="1"/>
          <bgColor auto="1"/>
        </patternFill>
      </fill>
      <border>
        <top style="thick">
          <color theme="0"/>
        </top>
        <bottom style="thick">
          <color theme="0"/>
        </bottom>
        <horizontal style="thick">
          <color theme="0"/>
        </horizontal>
      </border>
    </dxf>
    <dxf>
      <font>
        <b/>
        <i val="0"/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5" tint="0.59996337778862885"/>
        </top>
        <bottom style="thin">
          <color theme="5" tint="0.59996337778862885"/>
        </bottom>
        <vertical/>
        <horizontal style="thin">
          <color theme="5" tint="0.59996337778862885"/>
        </horizontal>
      </border>
    </dxf>
    <dxf>
      <font>
        <color theme="1"/>
      </font>
      <fill>
        <patternFill patternType="none">
          <bgColor auto="1"/>
        </patternFill>
      </fill>
      <border>
        <left/>
        <right/>
        <top style="thin">
          <color theme="5" tint="0.59996337778862885"/>
        </top>
        <bottom style="thin">
          <color theme="5" tint="0.59996337778862885"/>
        </bottom>
        <vertical/>
        <horizontal style="thin">
          <color theme="5" tint="0.59996337778862885"/>
        </horizontal>
      </border>
    </dxf>
    <dxf>
      <font>
        <color theme="1"/>
      </font>
      <fill>
        <patternFill>
          <bgColor theme="5" tint="0.39994506668294322"/>
        </patternFill>
      </fill>
      <border diagonalUp="0" diagonalDown="0">
        <left style="thin">
          <color theme="0"/>
        </left>
        <right style="thin">
          <color theme="0"/>
        </right>
        <top style="thick">
          <color theme="0"/>
        </top>
        <bottom style="thick">
          <color theme="5"/>
        </bottom>
        <vertical style="thick">
          <color theme="0"/>
        </vertical>
        <horizontal/>
      </border>
    </dxf>
    <dxf>
      <font>
        <color theme="0"/>
      </font>
      <fill>
        <patternFill>
          <bgColor theme="5" tint="-0.24994659260841701"/>
        </patternFill>
      </fill>
      <border>
        <top style="thin">
          <color theme="5" tint="0.59996337778862885"/>
        </top>
        <bottom style="thin">
          <color theme="5" tint="0.59996337778862885"/>
        </bottom>
        <horizontal style="thin">
          <color theme="5" tint="0.59996337778862885"/>
        </horizontal>
      </border>
    </dxf>
    <dxf>
      <font>
        <b/>
        <i val="0"/>
        <color theme="0"/>
      </font>
      <border diagonalUp="0" diagonalDown="0">
        <left/>
        <right/>
        <top/>
        <bottom style="thick">
          <color theme="0"/>
        </bottom>
        <vertical style="thick">
          <color theme="0"/>
        </vertical>
        <horizontal style="thick">
          <color theme="0"/>
        </horizontal>
      </border>
    </dxf>
    <dxf>
      <fill>
        <patternFill patternType="solid">
          <fgColor theme="5" tint="0.39994506668294322"/>
          <bgColor theme="5" tint="0.39991454817346722"/>
        </patternFill>
      </fill>
      <border diagonalUp="0" diagonalDown="0">
        <left/>
        <right/>
        <top style="thin">
          <color theme="5" tint="0.59996337778862885"/>
        </top>
        <bottom style="thick">
          <color theme="5"/>
        </bottom>
        <vertical style="thick">
          <color theme="0"/>
        </vertical>
        <horizontal style="thin">
          <color theme="5" tint="0.59996337778862885"/>
        </horizontal>
      </border>
    </dxf>
    <dxf>
      <font>
        <color theme="1"/>
      </font>
      <fill>
        <patternFill patternType="solid">
          <fgColor theme="5" tint="0.39994506668294322"/>
          <bgColor theme="5" tint="0.39991454817346722"/>
        </patternFill>
      </fill>
      <border diagonalUp="0" diagonalDown="0">
        <left/>
        <right/>
        <top style="thin">
          <color theme="5" tint="0.59996337778862885"/>
        </top>
        <bottom style="thick">
          <color theme="5"/>
        </bottom>
        <vertical style="thick">
          <color theme="0"/>
        </vertical>
        <horizontal style="thin">
          <color theme="5" tint="0.59996337778862885"/>
        </horizontal>
      </border>
    </dxf>
    <dxf>
      <font>
        <color auto="1"/>
      </font>
      <fill>
        <patternFill patternType="none">
          <bgColor auto="1"/>
        </patternFill>
      </fill>
      <border diagonalUp="0" diagonalDown="0">
        <left/>
        <right/>
        <top style="thin">
          <color theme="5" tint="0.59996337778862885"/>
        </top>
        <bottom style="thin">
          <color theme="5" tint="0.59996337778862885"/>
        </bottom>
        <vertical/>
        <horizontal style="thin">
          <color theme="5" tint="0.59996337778862885"/>
        </horizontal>
      </border>
    </dxf>
    <dxf>
      <font>
        <color auto="1"/>
      </font>
      <fill>
        <patternFill patternType="none">
          <bgColor auto="1"/>
        </patternFill>
      </fill>
      <border diagonalUp="0" diagonalDown="0">
        <left/>
        <right/>
        <top style="thin">
          <color theme="5" tint="0.59996337778862885"/>
        </top>
        <bottom style="thin">
          <color theme="5" tint="0.59996337778862885"/>
        </bottom>
        <vertical/>
        <horizontal style="thin">
          <color theme="5" tint="0.59996337778862885"/>
        </horizontal>
      </border>
    </dxf>
    <dxf>
      <fill>
        <patternFill>
          <bgColor theme="5" tint="0.79998168889431442"/>
        </patternFill>
      </fill>
      <border>
        <top style="thick">
          <color theme="0"/>
        </top>
        <bottom style="thick">
          <color theme="0"/>
        </bottom>
        <horizontal style="thick">
          <color theme="0"/>
        </horizontal>
      </border>
    </dxf>
    <dxf>
      <fill>
        <patternFill patternType="none">
          <fgColor auto="1"/>
          <bgColor auto="1"/>
        </patternFill>
      </fill>
      <border>
        <top style="thick">
          <color theme="0"/>
        </top>
        <bottom style="thick">
          <color theme="0"/>
        </bottom>
        <horizontal style="thick">
          <color theme="0"/>
        </horizontal>
      </border>
    </dxf>
    <dxf>
      <font>
        <color auto="1"/>
      </font>
      <fill>
        <patternFill>
          <fgColor theme="5" tint="0.39994506668294322"/>
          <bgColor theme="5" tint="0.3999145481734672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5" tint="0.59996337778862885"/>
        </top>
        <bottom style="thick">
          <color theme="5"/>
        </bottom>
        <vertical style="thick">
          <color theme="0"/>
        </vertical>
        <horizontal style="thin">
          <color theme="5" tint="0.59996337778862885"/>
        </horizontal>
      </border>
    </dxf>
    <dxf>
      <font>
        <color theme="0"/>
      </font>
      <fill>
        <patternFill>
          <fgColor theme="5" tint="-0.24994659260841701"/>
          <bgColor theme="5" tint="-0.24994659260841701"/>
        </patternFill>
      </fill>
      <border>
        <top style="thin">
          <color theme="5" tint="0.59996337778862885"/>
        </top>
        <bottom style="thin">
          <color theme="5" tint="0.59996337778862885"/>
        </bottom>
        <horizontal style="thin">
          <color theme="5" tint="0.59996337778862885"/>
        </horizontal>
      </border>
    </dxf>
    <dxf>
      <font>
        <b/>
        <i val="0"/>
        <color auto="1"/>
      </font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 style="thick">
          <color theme="0"/>
        </vertical>
        <horizontal style="thick">
          <color theme="0"/>
        </horizontal>
      </border>
    </dxf>
  </dxfs>
  <tableStyles count="2" defaultPivotStyle="PivotStyleLight16">
    <tableStyle name="Tableau des absences des employés" pivot="0" count="9" xr9:uid="{00000000-0011-0000-FFFF-FFFF00000000}">
      <tableStyleElement type="wholeTable" dxfId="2156"/>
      <tableStyleElement type="headerRow" dxfId="2155"/>
      <tableStyleElement type="totalRow" dxfId="2154"/>
      <tableStyleElement type="firstRowStripe" dxfId="2153"/>
      <tableStyleElement type="secondRowStripe" dxfId="2152"/>
      <tableStyleElement type="firstHeaderCell" dxfId="2151"/>
      <tableStyleElement type="lastHeaderCell" dxfId="2150"/>
      <tableStyleElement type="firstTotalCell" dxfId="2149"/>
      <tableStyleElement type="lastTotalCell" dxfId="2148"/>
    </tableStyle>
    <tableStyle name="Tableau des absences des employés 2" pivot="0" count="13" xr9:uid="{3374F2B5-EC6B-E245-A90B-F84953DFCF99}">
      <tableStyleElement type="wholeTable" dxfId="2147"/>
      <tableStyleElement type="headerRow" dxfId="2146"/>
      <tableStyleElement type="totalRow" dxfId="2145"/>
      <tableStyleElement type="firstColumn" dxfId="2144"/>
      <tableStyleElement type="lastColumn" dxfId="2143"/>
      <tableStyleElement type="firstRowStripe" dxfId="2142"/>
      <tableStyleElement type="secondRowStripe" dxfId="2141"/>
      <tableStyleElement type="firstColumnStripe" dxfId="2140"/>
      <tableStyleElement type="secondColumnStripe" dxfId="2139"/>
      <tableStyleElement type="firstHeaderCell" dxfId="2138"/>
      <tableStyleElement type="lastHeaderCell" dxfId="2137"/>
      <tableStyleElement type="firstTotalCell" dxfId="2136"/>
      <tableStyleElement type="lastTotalCell" dxfId="213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Janvier" displayName="Janvier" ref="B8:AH16" totalsRowShown="0" headerRowDxfId="2065" dataDxfId="2064" totalsRowDxfId="2063">
  <autoFilter ref="B8:AH1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00000000-0010-0000-0000-000001000000}" name="Materiel Comité" dataDxfId="2062" totalsRowDxfId="2061" dataCellStyle="Employé"/>
    <tableColumn id="2" xr3:uid="{00000000-0010-0000-0000-000002000000}" name="1" dataDxfId="2060" totalsRowDxfId="2059" dataCellStyle="Total"/>
    <tableColumn id="3" xr3:uid="{00000000-0010-0000-0000-000003000000}" name="2" dataDxfId="2058" totalsRowDxfId="2057" dataCellStyle="Total"/>
    <tableColumn id="4" xr3:uid="{00000000-0010-0000-0000-000004000000}" name="3" dataDxfId="2056" totalsRowDxfId="2055" dataCellStyle="Total"/>
    <tableColumn id="5" xr3:uid="{00000000-0010-0000-0000-000005000000}" name="4" dataDxfId="2054" totalsRowDxfId="2053" dataCellStyle="Total"/>
    <tableColumn id="6" xr3:uid="{00000000-0010-0000-0000-000006000000}" name="5" totalsRowDxfId="2052" dataCellStyle="Total"/>
    <tableColumn id="7" xr3:uid="{00000000-0010-0000-0000-000007000000}" name="6" dataDxfId="2051" totalsRowDxfId="2050" dataCellStyle="Total"/>
    <tableColumn id="8" xr3:uid="{00000000-0010-0000-0000-000008000000}" name="7" dataDxfId="2049" totalsRowDxfId="2048" dataCellStyle="Total"/>
    <tableColumn id="9" xr3:uid="{00000000-0010-0000-0000-000009000000}" name="8" dataDxfId="2047" totalsRowDxfId="2046" dataCellStyle="Total"/>
    <tableColumn id="10" xr3:uid="{00000000-0010-0000-0000-00000A000000}" name="9" dataDxfId="2045" totalsRowDxfId="2044" dataCellStyle="Total"/>
    <tableColumn id="11" xr3:uid="{00000000-0010-0000-0000-00000B000000}" name="10" dataDxfId="2043" totalsRowDxfId="2042" dataCellStyle="Total"/>
    <tableColumn id="12" xr3:uid="{00000000-0010-0000-0000-00000C000000}" name="11" dataDxfId="2041" totalsRowDxfId="2040" dataCellStyle="Total"/>
    <tableColumn id="13" xr3:uid="{00000000-0010-0000-0000-00000D000000}" name="12" dataDxfId="2039" totalsRowDxfId="2038" dataCellStyle="Total"/>
    <tableColumn id="14" xr3:uid="{00000000-0010-0000-0000-00000E000000}" name="13" dataDxfId="2037" totalsRowDxfId="2036" dataCellStyle="Total"/>
    <tableColumn id="15" xr3:uid="{00000000-0010-0000-0000-00000F000000}" name="14" dataDxfId="2035" totalsRowDxfId="2034" dataCellStyle="Total"/>
    <tableColumn id="16" xr3:uid="{00000000-0010-0000-0000-000010000000}" name="15" dataDxfId="2033" totalsRowDxfId="2032" dataCellStyle="Total"/>
    <tableColumn id="17" xr3:uid="{00000000-0010-0000-0000-000011000000}" name="16" dataDxfId="2031" totalsRowDxfId="2030" dataCellStyle="Total"/>
    <tableColumn id="18" xr3:uid="{00000000-0010-0000-0000-000012000000}" name="17" dataDxfId="2029" totalsRowDxfId="2028" dataCellStyle="Total"/>
    <tableColumn id="19" xr3:uid="{00000000-0010-0000-0000-000013000000}" name="18" dataDxfId="2027" totalsRowDxfId="2026" dataCellStyle="Total"/>
    <tableColumn id="20" xr3:uid="{00000000-0010-0000-0000-000014000000}" name="19" dataDxfId="2025" totalsRowDxfId="2024" dataCellStyle="Total"/>
    <tableColumn id="21" xr3:uid="{00000000-0010-0000-0000-000015000000}" name="20" dataDxfId="2023" totalsRowDxfId="2022" dataCellStyle="Total"/>
    <tableColumn id="22" xr3:uid="{00000000-0010-0000-0000-000016000000}" name="21" dataDxfId="2021" totalsRowDxfId="2020" dataCellStyle="Total"/>
    <tableColumn id="23" xr3:uid="{00000000-0010-0000-0000-000017000000}" name="22" dataDxfId="2019" totalsRowDxfId="2018" dataCellStyle="Total"/>
    <tableColumn id="24" xr3:uid="{00000000-0010-0000-0000-000018000000}" name="23" dataDxfId="2017" totalsRowDxfId="2016" dataCellStyle="Total"/>
    <tableColumn id="25" xr3:uid="{00000000-0010-0000-0000-000019000000}" name="24" dataDxfId="2015" totalsRowDxfId="2014" dataCellStyle="Total"/>
    <tableColumn id="26" xr3:uid="{00000000-0010-0000-0000-00001A000000}" name="25" dataDxfId="2013" totalsRowDxfId="2012" dataCellStyle="Total"/>
    <tableColumn id="27" xr3:uid="{00000000-0010-0000-0000-00001B000000}" name="26" dataDxfId="2011" totalsRowDxfId="2010" dataCellStyle="Total"/>
    <tableColumn id="28" xr3:uid="{00000000-0010-0000-0000-00001C000000}" name="27" dataDxfId="2009" totalsRowDxfId="2008" dataCellStyle="Total"/>
    <tableColumn id="29" xr3:uid="{00000000-0010-0000-0000-00001D000000}" name="28" dataDxfId="2007" totalsRowDxfId="2006" dataCellStyle="Total"/>
    <tableColumn id="30" xr3:uid="{00000000-0010-0000-0000-00001E000000}" name="29" dataDxfId="2005" totalsRowDxfId="2004" dataCellStyle="Total"/>
    <tableColumn id="31" xr3:uid="{00000000-0010-0000-0000-00001F000000}" name="30" dataDxfId="2003" totalsRowDxfId="2002" dataCellStyle="Total"/>
    <tableColumn id="32" xr3:uid="{00000000-0010-0000-0000-000020000000}" name="31" dataDxfId="2001" totalsRowDxfId="2000" dataCellStyle="Total"/>
    <tableColumn id="33" xr3:uid="{00000000-0010-0000-0000-000021000000}" name="Nombre de location" dataDxfId="1999" totalsRowDxfId="1998" dataCellStyle="Total">
      <calculatedColumnFormula>COUNTA(Janvier!$C9:$AG9)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9000000}" name="Octobre" displayName="Octobre" ref="B8:AH16" totalsRowShown="0" headerRowDxfId="1445" dataDxfId="1444" totalsRowDxfId="1443">
  <tableColumns count="33">
    <tableColumn id="1" xr3:uid="{00000000-0010-0000-0900-000001000000}" name="Materiel Comité" dataDxfId="1442" totalsRowDxfId="1441" dataCellStyle="Employé"/>
    <tableColumn id="2" xr3:uid="{00000000-0010-0000-0900-000002000000}" name="1" dataDxfId="1440" totalsRowDxfId="1439"/>
    <tableColumn id="3" xr3:uid="{00000000-0010-0000-0900-000003000000}" name="2" dataDxfId="1438" totalsRowDxfId="1437"/>
    <tableColumn id="4" xr3:uid="{00000000-0010-0000-0900-000004000000}" name="3" dataDxfId="1436" totalsRowDxfId="1435"/>
    <tableColumn id="5" xr3:uid="{00000000-0010-0000-0900-000005000000}" name="4" dataDxfId="1434" totalsRowDxfId="1433"/>
    <tableColumn id="6" xr3:uid="{00000000-0010-0000-0900-000006000000}" name="5" dataDxfId="1432" totalsRowDxfId="1431"/>
    <tableColumn id="7" xr3:uid="{00000000-0010-0000-0900-000007000000}" name="6" dataDxfId="1430" totalsRowDxfId="1429"/>
    <tableColumn id="8" xr3:uid="{00000000-0010-0000-0900-000008000000}" name="7" dataDxfId="1428" totalsRowDxfId="1427"/>
    <tableColumn id="9" xr3:uid="{00000000-0010-0000-0900-000009000000}" name="8" dataDxfId="1426" totalsRowDxfId="1425"/>
    <tableColumn id="10" xr3:uid="{00000000-0010-0000-0900-00000A000000}" name="9" dataDxfId="1424" totalsRowDxfId="1423"/>
    <tableColumn id="11" xr3:uid="{00000000-0010-0000-0900-00000B000000}" name="10" dataDxfId="1422" totalsRowDxfId="1421"/>
    <tableColumn id="12" xr3:uid="{00000000-0010-0000-0900-00000C000000}" name="11" dataDxfId="1420" totalsRowDxfId="1419"/>
    <tableColumn id="13" xr3:uid="{00000000-0010-0000-0900-00000D000000}" name="12" dataDxfId="1418" totalsRowDxfId="1417"/>
    <tableColumn id="14" xr3:uid="{00000000-0010-0000-0900-00000E000000}" name="13" dataDxfId="1416" totalsRowDxfId="1415"/>
    <tableColumn id="15" xr3:uid="{00000000-0010-0000-0900-00000F000000}" name="14" dataDxfId="1414" totalsRowDxfId="1413"/>
    <tableColumn id="16" xr3:uid="{00000000-0010-0000-0900-000010000000}" name="15" dataDxfId="1412" totalsRowDxfId="1411"/>
    <tableColumn id="17" xr3:uid="{00000000-0010-0000-0900-000011000000}" name="16" dataDxfId="1410" totalsRowDxfId="1409"/>
    <tableColumn id="18" xr3:uid="{00000000-0010-0000-0900-000012000000}" name="17" dataDxfId="1408" totalsRowDxfId="1407"/>
    <tableColumn id="19" xr3:uid="{00000000-0010-0000-0900-000013000000}" name="18" dataDxfId="1406" totalsRowDxfId="1405"/>
    <tableColumn id="20" xr3:uid="{00000000-0010-0000-0900-000014000000}" name="19" dataDxfId="1404" totalsRowDxfId="1403"/>
    <tableColumn id="21" xr3:uid="{00000000-0010-0000-0900-000015000000}" name="20" dataDxfId="1402" totalsRowDxfId="1401"/>
    <tableColumn id="22" xr3:uid="{00000000-0010-0000-0900-000016000000}" name="21" dataDxfId="1400" totalsRowDxfId="1399"/>
    <tableColumn id="23" xr3:uid="{00000000-0010-0000-0900-000017000000}" name="22" dataDxfId="1398" totalsRowDxfId="1397"/>
    <tableColumn id="24" xr3:uid="{00000000-0010-0000-0900-000018000000}" name="23" dataDxfId="1396" totalsRowDxfId="1395"/>
    <tableColumn id="25" xr3:uid="{00000000-0010-0000-0900-000019000000}" name="24" dataDxfId="1394" totalsRowDxfId="1393"/>
    <tableColumn id="26" xr3:uid="{00000000-0010-0000-0900-00001A000000}" name="25" dataDxfId="1392" totalsRowDxfId="1391"/>
    <tableColumn id="27" xr3:uid="{00000000-0010-0000-0900-00001B000000}" name="26" dataDxfId="1390" totalsRowDxfId="1389"/>
    <tableColumn id="28" xr3:uid="{00000000-0010-0000-0900-00001C000000}" name="27" dataDxfId="1388" totalsRowDxfId="1387"/>
    <tableColumn id="29" xr3:uid="{00000000-0010-0000-0900-00001D000000}" name="28" dataDxfId="1386" totalsRowDxfId="1385"/>
    <tableColumn id="30" xr3:uid="{00000000-0010-0000-0900-00001E000000}" name="29" dataDxfId="1384" totalsRowDxfId="1383"/>
    <tableColumn id="31" xr3:uid="{00000000-0010-0000-0900-00001F000000}" name="30" dataDxfId="1382" totalsRowDxfId="1381"/>
    <tableColumn id="32" xr3:uid="{00000000-0010-0000-0900-000020000000}" name="31" dataDxfId="1380" totalsRowDxfId="1379" dataCellStyle="Total"/>
    <tableColumn id="33" xr3:uid="{00000000-0010-0000-0900-000021000000}" name="Nombre de location" dataDxfId="1378" totalsRowDxfId="1377" dataCellStyle="Total">
      <calculatedColumnFormula>COUNTA(Octobre[[#This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A000000}" name="Novembre" displayName="Novembre" ref="B8:AH16" totalsRowShown="0" headerRowDxfId="1376" dataDxfId="1375" totalsRowDxfId="1374">
  <tableColumns count="33">
    <tableColumn id="1" xr3:uid="{00000000-0010-0000-0A00-000001000000}" name="Materiel Comité" dataDxfId="1373" totalsRowDxfId="1372" dataCellStyle="Employé"/>
    <tableColumn id="2" xr3:uid="{00000000-0010-0000-0A00-000002000000}" name="1" dataDxfId="1371" totalsRowDxfId="1370"/>
    <tableColumn id="3" xr3:uid="{00000000-0010-0000-0A00-000003000000}" name="2" dataDxfId="1369" totalsRowDxfId="1368"/>
    <tableColumn id="4" xr3:uid="{00000000-0010-0000-0A00-000004000000}" name="3" dataDxfId="1367" totalsRowDxfId="1366"/>
    <tableColumn id="5" xr3:uid="{00000000-0010-0000-0A00-000005000000}" name="4" dataDxfId="1365" totalsRowDxfId="1364"/>
    <tableColumn id="6" xr3:uid="{00000000-0010-0000-0A00-000006000000}" name="5" dataDxfId="1363" totalsRowDxfId="1362"/>
    <tableColumn id="7" xr3:uid="{00000000-0010-0000-0A00-000007000000}" name="6" dataDxfId="1361" totalsRowDxfId="1360"/>
    <tableColumn id="8" xr3:uid="{00000000-0010-0000-0A00-000008000000}" name="7" dataDxfId="1359" totalsRowDxfId="1358"/>
    <tableColumn id="9" xr3:uid="{00000000-0010-0000-0A00-000009000000}" name="8" dataDxfId="1357" totalsRowDxfId="1356"/>
    <tableColumn id="10" xr3:uid="{00000000-0010-0000-0A00-00000A000000}" name="9" dataDxfId="1355" totalsRowDxfId="1354"/>
    <tableColumn id="11" xr3:uid="{00000000-0010-0000-0A00-00000B000000}" name="10" dataDxfId="1353" totalsRowDxfId="1352"/>
    <tableColumn id="12" xr3:uid="{00000000-0010-0000-0A00-00000C000000}" name="11" dataDxfId="1351" totalsRowDxfId="1350"/>
    <tableColumn id="13" xr3:uid="{00000000-0010-0000-0A00-00000D000000}" name="12" dataDxfId="1349" totalsRowDxfId="1348"/>
    <tableColumn id="14" xr3:uid="{00000000-0010-0000-0A00-00000E000000}" name="13" dataDxfId="1347" totalsRowDxfId="1346"/>
    <tableColumn id="15" xr3:uid="{00000000-0010-0000-0A00-00000F000000}" name="14" dataDxfId="1345" totalsRowDxfId="1344"/>
    <tableColumn id="16" xr3:uid="{00000000-0010-0000-0A00-000010000000}" name="15" dataDxfId="1343" totalsRowDxfId="1342"/>
    <tableColumn id="17" xr3:uid="{00000000-0010-0000-0A00-000011000000}" name="16" dataDxfId="1341" totalsRowDxfId="1340"/>
    <tableColumn id="18" xr3:uid="{00000000-0010-0000-0A00-000012000000}" name="17" dataDxfId="1339" totalsRowDxfId="1338"/>
    <tableColumn id="19" xr3:uid="{00000000-0010-0000-0A00-000013000000}" name="18" dataDxfId="1337" totalsRowDxfId="1336"/>
    <tableColumn id="20" xr3:uid="{00000000-0010-0000-0A00-000014000000}" name="19" dataDxfId="1335" totalsRowDxfId="1334"/>
    <tableColumn id="21" xr3:uid="{00000000-0010-0000-0A00-000015000000}" name="20" dataDxfId="1333" totalsRowDxfId="1332"/>
    <tableColumn id="22" xr3:uid="{00000000-0010-0000-0A00-000016000000}" name="21" dataDxfId="1331" totalsRowDxfId="1330"/>
    <tableColumn id="23" xr3:uid="{00000000-0010-0000-0A00-000017000000}" name="22" dataDxfId="1329" totalsRowDxfId="1328"/>
    <tableColumn id="24" xr3:uid="{00000000-0010-0000-0A00-000018000000}" name="23" dataDxfId="1327" totalsRowDxfId="1326"/>
    <tableColumn id="25" xr3:uid="{00000000-0010-0000-0A00-000019000000}" name="24" dataDxfId="1325" totalsRowDxfId="1324"/>
    <tableColumn id="26" xr3:uid="{00000000-0010-0000-0A00-00001A000000}" name="25" dataDxfId="1323" totalsRowDxfId="1322"/>
    <tableColumn id="27" xr3:uid="{00000000-0010-0000-0A00-00001B000000}" name="26" dataDxfId="1321" totalsRowDxfId="1320"/>
    <tableColumn id="28" xr3:uid="{00000000-0010-0000-0A00-00001C000000}" name="27" dataDxfId="1319" totalsRowDxfId="1318"/>
    <tableColumn id="29" xr3:uid="{00000000-0010-0000-0A00-00001D000000}" name="28" dataDxfId="1317" totalsRowDxfId="1316"/>
    <tableColumn id="30" xr3:uid="{00000000-0010-0000-0A00-00001E000000}" name="29" dataDxfId="1315" totalsRowDxfId="1314"/>
    <tableColumn id="31" xr3:uid="{00000000-0010-0000-0A00-00001F000000}" name="30" dataDxfId="1313" totalsRowDxfId="1312"/>
    <tableColumn id="32" xr3:uid="{00000000-0010-0000-0A00-000020000000}" name=" " dataDxfId="1311" totalsRowDxfId="1310" dataCellStyle="Total"/>
    <tableColumn id="33" xr3:uid="{00000000-0010-0000-0A00-000021000000}" name="Nombre de location" dataDxfId="1309" totalsRowDxfId="1308" dataCellStyle="Total">
      <calculatedColumnFormula>COUNTA(Novembre[[#This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Décembre" displayName="Décembre" ref="B8:AH16" totalsRowShown="0" headerRowDxfId="1307" dataDxfId="1306" totalsRowDxfId="1305">
  <tableColumns count="33">
    <tableColumn id="1" xr3:uid="{00000000-0010-0000-0B00-000001000000}" name="Materiel Comité" dataDxfId="1304" totalsRowDxfId="1303" dataCellStyle="Employé"/>
    <tableColumn id="2" xr3:uid="{00000000-0010-0000-0B00-000002000000}" name="1" dataDxfId="1302" totalsRowDxfId="1301"/>
    <tableColumn id="3" xr3:uid="{00000000-0010-0000-0B00-000003000000}" name="2" dataDxfId="1300" totalsRowDxfId="1299"/>
    <tableColumn id="4" xr3:uid="{00000000-0010-0000-0B00-000004000000}" name="3" dataDxfId="1298" totalsRowDxfId="1297"/>
    <tableColumn id="5" xr3:uid="{00000000-0010-0000-0B00-000005000000}" name="4" dataDxfId="1296" totalsRowDxfId="1295"/>
    <tableColumn id="6" xr3:uid="{00000000-0010-0000-0B00-000006000000}" name="5" dataDxfId="1294" totalsRowDxfId="1293"/>
    <tableColumn id="7" xr3:uid="{00000000-0010-0000-0B00-000007000000}" name="6" dataDxfId="1292" totalsRowDxfId="1291"/>
    <tableColumn id="8" xr3:uid="{00000000-0010-0000-0B00-000008000000}" name="7" dataDxfId="1290" totalsRowDxfId="1289"/>
    <tableColumn id="9" xr3:uid="{00000000-0010-0000-0B00-000009000000}" name="8" dataDxfId="1288" totalsRowDxfId="1287"/>
    <tableColumn id="10" xr3:uid="{00000000-0010-0000-0B00-00000A000000}" name="9" dataDxfId="1286" totalsRowDxfId="1285"/>
    <tableColumn id="11" xr3:uid="{00000000-0010-0000-0B00-00000B000000}" name="10" dataDxfId="1284" totalsRowDxfId="1283"/>
    <tableColumn id="12" xr3:uid="{00000000-0010-0000-0B00-00000C000000}" name="11" dataDxfId="1282" totalsRowDxfId="1281"/>
    <tableColumn id="13" xr3:uid="{00000000-0010-0000-0B00-00000D000000}" name="12" dataDxfId="1280" totalsRowDxfId="1279"/>
    <tableColumn id="14" xr3:uid="{00000000-0010-0000-0B00-00000E000000}" name="13" dataDxfId="1278" totalsRowDxfId="1277"/>
    <tableColumn id="15" xr3:uid="{00000000-0010-0000-0B00-00000F000000}" name="14" dataDxfId="1276" totalsRowDxfId="1275"/>
    <tableColumn id="16" xr3:uid="{00000000-0010-0000-0B00-000010000000}" name="15" dataDxfId="1274" totalsRowDxfId="1273"/>
    <tableColumn id="17" xr3:uid="{00000000-0010-0000-0B00-000011000000}" name="16" dataDxfId="1272" totalsRowDxfId="1271"/>
    <tableColumn id="18" xr3:uid="{00000000-0010-0000-0B00-000012000000}" name="17" dataDxfId="1270" totalsRowDxfId="1269"/>
    <tableColumn id="19" xr3:uid="{00000000-0010-0000-0B00-000013000000}" name="18" dataDxfId="1268" totalsRowDxfId="1267"/>
    <tableColumn id="20" xr3:uid="{00000000-0010-0000-0B00-000014000000}" name="19" dataDxfId="1266" totalsRowDxfId="1265"/>
    <tableColumn id="21" xr3:uid="{00000000-0010-0000-0B00-000015000000}" name="20" dataDxfId="1264" totalsRowDxfId="1263"/>
    <tableColumn id="22" xr3:uid="{00000000-0010-0000-0B00-000016000000}" name="21" dataDxfId="1262" totalsRowDxfId="1261"/>
    <tableColumn id="23" xr3:uid="{00000000-0010-0000-0B00-000017000000}" name="22" dataDxfId="1260" totalsRowDxfId="1259"/>
    <tableColumn id="24" xr3:uid="{00000000-0010-0000-0B00-000018000000}" name="23" dataDxfId="1258" totalsRowDxfId="1257"/>
    <tableColumn id="25" xr3:uid="{00000000-0010-0000-0B00-000019000000}" name="24" dataDxfId="1256" totalsRowDxfId="1255"/>
    <tableColumn id="26" xr3:uid="{00000000-0010-0000-0B00-00001A000000}" name="25" dataDxfId="1254" totalsRowDxfId="1253"/>
    <tableColumn id="27" xr3:uid="{00000000-0010-0000-0B00-00001B000000}" name="26" dataDxfId="1252" totalsRowDxfId="1251"/>
    <tableColumn id="28" xr3:uid="{00000000-0010-0000-0B00-00001C000000}" name="27" dataDxfId="1250" totalsRowDxfId="1249"/>
    <tableColumn id="29" xr3:uid="{00000000-0010-0000-0B00-00001D000000}" name="28" dataDxfId="1248" totalsRowDxfId="1247"/>
    <tableColumn id="30" xr3:uid="{00000000-0010-0000-0B00-00001E000000}" name="29" dataDxfId="1246" totalsRowDxfId="1245"/>
    <tableColumn id="31" xr3:uid="{00000000-0010-0000-0B00-00001F000000}" name="30" dataDxfId="1244" totalsRowDxfId="1243"/>
    <tableColumn id="32" xr3:uid="{00000000-0010-0000-0B00-000020000000}" name="31" dataDxfId="1242" totalsRowDxfId="1241" dataCellStyle="Total"/>
    <tableColumn id="33" xr3:uid="{00000000-0010-0000-0B00-000021000000}" name="Nombre de location" dataDxfId="1240" totalsRowDxfId="1239" dataCellStyle="Total">
      <calculatedColumnFormula>COUNTA(Décembre[[#This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Fournit une liste de noms et des dates de calendrier pour enregistrer les absences et motifs d’absence des employés (C= Congé, M=Maladie, P=Personnel, et deux espaces réservés pour des entrées personnalisées)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EE9F2C8-10A3-4BE3-8641-7F5A5867C41F}" name="Novembre26" displayName="Novembre26" ref="B8:AH16" totalsRowShown="0" headerRowDxfId="1238" dataDxfId="1237" totalsRowDxfId="1236">
  <tableColumns count="33">
    <tableColumn id="1" xr3:uid="{20179B0D-70AC-4ADC-95E7-D61C809D5B41}" name="Materiel Comité" dataDxfId="1235" totalsRowDxfId="1234" dataCellStyle="Employé"/>
    <tableColumn id="2" xr3:uid="{F284F1C2-4586-4945-9BCC-9DEFFC3D2184}" name="1" dataDxfId="1233" totalsRowDxfId="1232"/>
    <tableColumn id="3" xr3:uid="{CD5B07FB-BFBF-43A3-BD28-55F0D879136A}" name="2" dataDxfId="1231" totalsRowDxfId="1230"/>
    <tableColumn id="4" xr3:uid="{220E67A3-320B-43FE-A6A3-441A7AE24A23}" name="3" dataDxfId="1229" totalsRowDxfId="1228"/>
    <tableColumn id="5" xr3:uid="{C7BB5AA7-5943-4D22-84D4-C42D6485D5E9}" name="4" dataDxfId="1227" totalsRowDxfId="1226"/>
    <tableColumn id="6" xr3:uid="{5BF153C6-8805-4C89-9EBB-70662BE36472}" name="5" dataDxfId="1225" totalsRowDxfId="1224"/>
    <tableColumn id="7" xr3:uid="{4E88F227-FED0-47BA-988C-7CC7D527D915}" name="6" dataDxfId="1223" totalsRowDxfId="1222"/>
    <tableColumn id="8" xr3:uid="{28F55E0D-CE59-45A2-AFBB-90350693DDFF}" name="7" dataDxfId="1221" totalsRowDxfId="1220"/>
    <tableColumn id="9" xr3:uid="{C83FCAB0-6613-4024-BC17-38312B6B7DBC}" name="8" dataDxfId="1219" totalsRowDxfId="1218"/>
    <tableColumn id="10" xr3:uid="{6241E12F-E901-468C-BDC5-287D9A37BDF0}" name="9" dataDxfId="1217" totalsRowDxfId="1216"/>
    <tableColumn id="11" xr3:uid="{71A03651-8F14-4039-AA06-F4C31CF4C518}" name="10" dataDxfId="1215" totalsRowDxfId="1214"/>
    <tableColumn id="12" xr3:uid="{26FEEFE9-86B5-471C-B1A0-9F280D3E8ACF}" name="11" dataDxfId="1213" totalsRowDxfId="1212"/>
    <tableColumn id="13" xr3:uid="{C45077A4-B24A-4178-B9FF-C0FDD1888576}" name="12" dataDxfId="1211" totalsRowDxfId="1210"/>
    <tableColumn id="14" xr3:uid="{C5CA8EFC-23D3-4FE2-910C-15EA0D8BB57D}" name="13" dataDxfId="1209" totalsRowDxfId="1208"/>
    <tableColumn id="15" xr3:uid="{13298290-B20A-4865-A23D-4ADE3C2F036A}" name="14" dataDxfId="1207" totalsRowDxfId="1206"/>
    <tableColumn id="16" xr3:uid="{C9AEFCF4-891F-434B-8D29-ACA07472D855}" name="15" dataDxfId="1205" totalsRowDxfId="1204"/>
    <tableColumn id="17" xr3:uid="{15B2DB40-0736-4FF6-A012-7F49A184F70A}" name="16" dataDxfId="1203" totalsRowDxfId="1202"/>
    <tableColumn id="18" xr3:uid="{9853E962-06EA-487F-839B-988999FB64C4}" name="17" dataDxfId="1201" totalsRowDxfId="1200"/>
    <tableColumn id="19" xr3:uid="{CD6A6286-ECA6-416E-AF3E-9397F4ECEAB2}" name="18" dataDxfId="1199" totalsRowDxfId="1198"/>
    <tableColumn id="20" xr3:uid="{83B0B2E7-0147-4031-93B7-39212E14BC75}" name="19" dataDxfId="1197" totalsRowDxfId="1196"/>
    <tableColumn id="21" xr3:uid="{7929A6BC-C9D0-44F9-9979-F27E126F3978}" name="20" dataDxfId="1195" totalsRowDxfId="1194"/>
    <tableColumn id="22" xr3:uid="{7EB56A46-4093-4C3C-9949-2C0F3694132F}" name="21" dataDxfId="1193" totalsRowDxfId="1192"/>
    <tableColumn id="23" xr3:uid="{E253F68B-E9FC-4D73-B0B9-EF4D42D51FE6}" name="22" dataDxfId="1191" totalsRowDxfId="1190"/>
    <tableColumn id="24" xr3:uid="{8C5FD4AE-B51F-4416-A704-9B9C95463EBD}" name="23" dataDxfId="1189" totalsRowDxfId="1188"/>
    <tableColumn id="25" xr3:uid="{3088518A-9D39-436F-8CCD-AFB196AAD222}" name="24" dataDxfId="1187" totalsRowDxfId="1186"/>
    <tableColumn id="26" xr3:uid="{1CA04E82-A9A9-4632-B267-11E6A08A4B09}" name="25" dataDxfId="1185" totalsRowDxfId="1184"/>
    <tableColumn id="27" xr3:uid="{AEE0849F-6212-4E76-8EDB-D5E5707900AD}" name="26" dataDxfId="1183" totalsRowDxfId="1182"/>
    <tableColumn id="28" xr3:uid="{0FA8EA4D-BB60-4A39-87D2-6B5808281F4C}" name="27" dataDxfId="1181" totalsRowDxfId="1180"/>
    <tableColumn id="29" xr3:uid="{2DB49C71-13C9-40B8-A649-B6B01DFA8AA1}" name="28" dataDxfId="1179" totalsRowDxfId="1178"/>
    <tableColumn id="30" xr3:uid="{FF21A152-C22E-4344-80F4-BD276B3B1E26}" name="29" dataDxfId="1177" totalsRowDxfId="1176"/>
    <tableColumn id="31" xr3:uid="{86CC4AAA-80D4-410D-B795-0B1817D066D6}" name="30" dataDxfId="1175" totalsRowDxfId="1174"/>
    <tableColumn id="32" xr3:uid="{1BA0D368-AC58-4D29-AA13-C59A2D47822B}" name="31" dataDxfId="1173" totalsRowDxfId="1172" dataCellStyle="Total"/>
    <tableColumn id="33" xr3:uid="{81F912BB-D785-430F-B264-1E069E72803A}" name="Nombre de location" dataDxfId="1171" totalsRowDxfId="1170" dataCellStyle="Total">
      <calculatedColumnFormula>COUNTA(Novembre26[[#This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3794CCF-D49D-43DA-86DB-4CA8D901596E}" name="Novembre279" displayName="Novembre279" ref="B8:AE16" totalsRowShown="0" headerRowDxfId="1169" dataDxfId="1168" totalsRowDxfId="1167">
  <tableColumns count="30">
    <tableColumn id="1" xr3:uid="{9031F21D-C191-4652-A840-6734C8A22DDC}" name="Materiel Comité" dataDxfId="1166" totalsRowDxfId="1165" dataCellStyle="Employé"/>
    <tableColumn id="2" xr3:uid="{ED96E899-9C06-4F35-B8AD-4958B6E95AFD}" name="1" dataDxfId="1164" totalsRowDxfId="1163"/>
    <tableColumn id="3" xr3:uid="{97B22820-905D-41E6-A0CB-F3C70936CBEA}" name="2" dataDxfId="1162" totalsRowDxfId="1161"/>
    <tableColumn id="4" xr3:uid="{605AE344-7FCE-4FD5-AFFA-B440BAC20D73}" name="3" dataDxfId="1160" totalsRowDxfId="1159"/>
    <tableColumn id="5" xr3:uid="{7C68AD14-5A3F-47D7-B224-349634B4D764}" name="4" dataDxfId="1158" totalsRowDxfId="1157"/>
    <tableColumn id="6" xr3:uid="{9905FF85-A330-43F8-964D-3B73F22D3C9D}" name="5" dataDxfId="1156" totalsRowDxfId="1155"/>
    <tableColumn id="7" xr3:uid="{021AD6DF-5EEA-448E-BDCC-2B4B36E5ADEE}" name="6" dataDxfId="1154" totalsRowDxfId="1153"/>
    <tableColumn id="8" xr3:uid="{E51813CF-4871-45C0-8424-2FBADB6DCD47}" name="7" dataDxfId="1152" totalsRowDxfId="1151"/>
    <tableColumn id="9" xr3:uid="{082105F2-4B24-468C-8C5C-D599D1B82E66}" name="8" dataDxfId="1150" totalsRowDxfId="1149"/>
    <tableColumn id="10" xr3:uid="{2BECAED8-7228-4BFB-8240-9D209BFBAD98}" name="9" dataDxfId="1148" totalsRowDxfId="1147"/>
    <tableColumn id="11" xr3:uid="{662EDF82-419A-4788-B86F-723E9C4470F8}" name="10" dataDxfId="1146" totalsRowDxfId="1145"/>
    <tableColumn id="12" xr3:uid="{8FF0E239-8E9F-4263-A8A2-7371E4063CF7}" name="11" dataDxfId="1144" totalsRowDxfId="1143"/>
    <tableColumn id="13" xr3:uid="{8D858AA0-90C7-4C3F-BF25-45D6F30AA62A}" name="12" dataDxfId="1142" totalsRowDxfId="1141"/>
    <tableColumn id="14" xr3:uid="{37970908-5EFB-4B80-A267-F30E5A65D221}" name="13" dataDxfId="1140" totalsRowDxfId="1139"/>
    <tableColumn id="15" xr3:uid="{DD5E7C77-D2E1-485C-891B-93C88FB1A74A}" name="14" dataDxfId="1138" totalsRowDxfId="1137"/>
    <tableColumn id="16" xr3:uid="{F59A84DA-EC3E-4918-82DD-D2880499DA4E}" name="15" dataDxfId="1136" totalsRowDxfId="1135"/>
    <tableColumn id="17" xr3:uid="{0EFAD067-614F-44CF-9C28-DD6DB98BC08D}" name="16" dataDxfId="1134" totalsRowDxfId="1133"/>
    <tableColumn id="18" xr3:uid="{98E9A59B-8140-45D6-BE4F-06392404CAA2}" name="17" dataDxfId="1132" totalsRowDxfId="1131"/>
    <tableColumn id="19" xr3:uid="{926F1635-04CC-40E9-A78F-5CED95B5672E}" name="18" dataDxfId="1130" totalsRowDxfId="1129"/>
    <tableColumn id="20" xr3:uid="{CF49A70B-DF6B-44E0-AD93-565EC85E4F3C}" name="19" dataDxfId="1128" totalsRowDxfId="1127"/>
    <tableColumn id="21" xr3:uid="{EC68DA6A-0D99-4247-858B-D5120474A027}" name="20" dataDxfId="1126" totalsRowDxfId="1125"/>
    <tableColumn id="22" xr3:uid="{9FC8B865-D8CC-4229-AEDF-733DAFDFE8AE}" name="21" dataDxfId="1124" totalsRowDxfId="1123"/>
    <tableColumn id="23" xr3:uid="{767BBB83-D1CB-45E9-85DD-8BC168D4BF5C}" name="22" dataDxfId="1122" totalsRowDxfId="1121"/>
    <tableColumn id="24" xr3:uid="{2573BA29-B77F-4B3D-9231-7A437C6BC75A}" name="23" dataDxfId="1120" totalsRowDxfId="1119"/>
    <tableColumn id="25" xr3:uid="{4B8D9C03-A7EA-4C50-BC21-C85C7BA5CF82}" name="24" dataDxfId="1118" totalsRowDxfId="1117"/>
    <tableColumn id="26" xr3:uid="{84A9D8CD-2A42-4B70-B9F0-F714F5452CDE}" name="25" dataDxfId="1116" totalsRowDxfId="1115"/>
    <tableColumn id="27" xr3:uid="{A88B3631-B494-495D-B1A1-5DE8A9FC707C}" name="26" dataDxfId="1114" totalsRowDxfId="1113"/>
    <tableColumn id="28" xr3:uid="{1F45FEE8-8BCF-45F4-9876-A240E063281A}" name="27" dataDxfId="1112" totalsRowDxfId="1111"/>
    <tableColumn id="29" xr3:uid="{D8E513C0-9B5D-49C7-8357-61A5B5D98DB8}" name="28" dataDxfId="1110" totalsRowDxfId="1109"/>
    <tableColumn id="33" xr3:uid="{E3C954DE-7DFB-454F-9611-5C6A8A915005}" name="Nombre de location" dataDxfId="1108" totalsRowDxfId="1107" dataCellStyle="Total">
      <calculatedColumnFormula>COUNTA(#REF!)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C91E8BC-64C2-4675-9F21-6F2D37E610A2}" name="Novembre271011" displayName="Novembre271011" ref="B8:AH16" totalsRowShown="0" headerRowDxfId="1106" dataDxfId="1105" totalsRowDxfId="1104">
  <tableColumns count="33">
    <tableColumn id="1" xr3:uid="{2ECC59CC-043D-4285-B653-D78B8E18BAE9}" name="Materiel Comité" dataDxfId="1103" totalsRowDxfId="1102" dataCellStyle="Employé"/>
    <tableColumn id="2" xr3:uid="{7B9DB7B7-45EF-4C97-8F39-AB3EF2A53369}" name="1" dataDxfId="1101" totalsRowDxfId="1100"/>
    <tableColumn id="3" xr3:uid="{C19570A7-2C6D-4D91-8DC4-EA5C646E40DF}" name="2" dataDxfId="1099" totalsRowDxfId="1098"/>
    <tableColumn id="4" xr3:uid="{14C8E249-4C2E-4C8A-AEB6-9C7545C6F923}" name="3" dataDxfId="1097" totalsRowDxfId="1096"/>
    <tableColumn id="5" xr3:uid="{E81504E4-0B84-4926-B187-1A72ED83A94E}" name="4" dataDxfId="1095" totalsRowDxfId="1094"/>
    <tableColumn id="6" xr3:uid="{CF13A8BF-5A8F-4566-A3D5-5329B46B0D5A}" name="5" dataDxfId="1093" totalsRowDxfId="1092"/>
    <tableColumn id="7" xr3:uid="{594E6C8A-F203-4055-AC8D-C03A6A0F3D0E}" name="6" dataDxfId="1091" totalsRowDxfId="1090"/>
    <tableColumn id="8" xr3:uid="{AB60FE41-B3DE-4F0F-9A55-979712951BEA}" name="7" dataDxfId="1089" totalsRowDxfId="1088"/>
    <tableColumn id="9" xr3:uid="{8C4758DF-D588-4CC9-9734-B50E46934432}" name="8" dataDxfId="1087" totalsRowDxfId="1086"/>
    <tableColumn id="10" xr3:uid="{0E6F528B-F575-4692-B6D2-DB86AC44C836}" name="9" dataDxfId="1085" totalsRowDxfId="1084"/>
    <tableColumn id="11" xr3:uid="{E3393738-6026-4345-8BC7-978289BF49C9}" name="10" dataDxfId="1083" totalsRowDxfId="1082"/>
    <tableColumn id="12" xr3:uid="{D40FB21D-CBEF-4D69-B906-7E690F9F7299}" name="11" dataDxfId="1081" totalsRowDxfId="1080"/>
    <tableColumn id="13" xr3:uid="{60A5AE31-D1F0-44CC-9BCC-52EE6039CF3C}" name="12" dataDxfId="1079" totalsRowDxfId="1078"/>
    <tableColumn id="14" xr3:uid="{D5CC3883-8920-4041-86EE-E82F35BD4FDD}" name="13" dataDxfId="1077" totalsRowDxfId="1076"/>
    <tableColumn id="15" xr3:uid="{6FA8369C-E401-4BAF-913E-32B3E97790B9}" name="14" dataDxfId="1075" totalsRowDxfId="1074"/>
    <tableColumn id="16" xr3:uid="{21A6DAE7-DDB3-4D5E-8405-445FBC786034}" name="15" dataDxfId="1073" totalsRowDxfId="1072"/>
    <tableColumn id="17" xr3:uid="{AB439654-EB05-4039-B565-2AEE12F6B78E}" name="16" dataDxfId="1071" totalsRowDxfId="1070"/>
    <tableColumn id="18" xr3:uid="{041263BF-B4B6-4EB6-925A-D75BB570B17A}" name="17" dataDxfId="1069" totalsRowDxfId="1068"/>
    <tableColumn id="19" xr3:uid="{D721CADF-9625-49C2-9AB9-3D55BE009C32}" name="18" dataDxfId="1067" totalsRowDxfId="1066"/>
    <tableColumn id="20" xr3:uid="{C5473D25-F070-438A-8161-C7EFAA028BAE}" name="19" dataDxfId="1065" totalsRowDxfId="1064"/>
    <tableColumn id="21" xr3:uid="{D4F8086B-16B4-4251-BA21-FFCCD85CD73A}" name="20" dataDxfId="1063" totalsRowDxfId="1062"/>
    <tableColumn id="22" xr3:uid="{28FB3659-9E66-4D11-A710-D739F1E50145}" name="21" dataDxfId="1061" totalsRowDxfId="1060"/>
    <tableColumn id="23" xr3:uid="{17FCC218-8461-4033-B704-CC860335A788}" name="22" dataDxfId="1059" totalsRowDxfId="1058"/>
    <tableColumn id="24" xr3:uid="{FFE54375-17A0-4483-AF02-854D5093B120}" name="23" dataDxfId="1057" totalsRowDxfId="1056"/>
    <tableColumn id="25" xr3:uid="{AAD1E57B-D388-4FED-BE7F-B611B15BB529}" name="24" dataDxfId="1055" totalsRowDxfId="1054"/>
    <tableColumn id="26" xr3:uid="{4B1701FC-FD50-4C5D-9657-659594D88C98}" name="25" dataDxfId="1053" totalsRowDxfId="1052"/>
    <tableColumn id="27" xr3:uid="{590624DE-C0FD-4D29-A2A9-F33C9EA5FAA3}" name="26" dataDxfId="1051" totalsRowDxfId="1050"/>
    <tableColumn id="28" xr3:uid="{8678F438-7789-4B9A-9032-36E9534E2A0D}" name="27" dataDxfId="1049" totalsRowDxfId="1048"/>
    <tableColumn id="29" xr3:uid="{CF0E8432-1BAE-4CD6-94D6-5700E7D6DB9A}" name="28" dataDxfId="1047" totalsRowDxfId="1046"/>
    <tableColumn id="30" xr3:uid="{A4C0E3AF-22A8-4F10-9A32-D861CD1E5D60}" name="29" dataDxfId="1045" totalsRowDxfId="1044"/>
    <tableColumn id="31" xr3:uid="{638BAFE6-0AE8-41AA-AB1F-BD2979264991}" name="30" dataDxfId="1043" totalsRowDxfId="1042"/>
    <tableColumn id="32" xr3:uid="{C2E9A307-6678-4EAB-B878-AF9D09D1E463}" name="31" dataDxfId="1041" totalsRowDxfId="1040" dataCellStyle="Total"/>
    <tableColumn id="33" xr3:uid="{778F8144-4B44-4287-9D44-8025FBC858B8}" name="Nombre de location" dataDxfId="1039" totalsRowDxfId="1038" dataCellStyle="Total">
      <calculatedColumnFormula>COUNTA(Novembre271011[[#This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8068C81-0F85-4A1B-BD69-2087BAF02963}" name="Novembre2710" displayName="Novembre2710" ref="B8:AH16" totalsRowShown="0" headerRowDxfId="1037" dataDxfId="1036" totalsRowDxfId="1035">
  <tableColumns count="33">
    <tableColumn id="1" xr3:uid="{3E54462B-1BC1-4FAD-9E99-BB78D9ECB2F1}" name="Materiel Comité" dataDxfId="1034" totalsRowDxfId="1033" dataCellStyle="Employé"/>
    <tableColumn id="2" xr3:uid="{97F4AADB-2AF9-4FA5-8F83-2D1F97FFF318}" name="1" dataDxfId="1032" totalsRowDxfId="1031"/>
    <tableColumn id="3" xr3:uid="{8B9233AC-E61B-4F6B-9A5A-8C87DA8C9AF2}" name="2" dataDxfId="1030" totalsRowDxfId="1029"/>
    <tableColumn id="4" xr3:uid="{BD8E5F05-754E-4A14-910E-13FE8FB7C924}" name="3" dataDxfId="1028" totalsRowDxfId="1027"/>
    <tableColumn id="5" xr3:uid="{1FAA24FE-7EBD-4DB2-8722-F22DBE73A4C6}" name="4" dataDxfId="1026" totalsRowDxfId="1025"/>
    <tableColumn id="6" xr3:uid="{3FA9D4CB-9F9A-401A-B388-F14511DC60CA}" name="5" dataDxfId="1024" totalsRowDxfId="1023"/>
    <tableColumn id="7" xr3:uid="{DB6B0AFB-22BE-4A22-BEE5-3D46AC5436F4}" name="6" dataDxfId="1022" totalsRowDxfId="1021"/>
    <tableColumn id="8" xr3:uid="{3A6026E6-96F6-4501-B26F-F053BDC37AAB}" name="7" dataDxfId="1020" totalsRowDxfId="1019"/>
    <tableColumn id="9" xr3:uid="{9F23CC05-3E4F-4D88-9A33-6C869274E78B}" name="8" dataDxfId="1018" totalsRowDxfId="1017"/>
    <tableColumn id="10" xr3:uid="{9E1198C7-F91A-47CF-8896-E84F0F0CF070}" name="9" dataDxfId="1016" totalsRowDxfId="1015"/>
    <tableColumn id="11" xr3:uid="{A8DBA491-8472-465D-9EAE-D28E5619B8F8}" name="10" dataDxfId="1014" totalsRowDxfId="1013"/>
    <tableColumn id="12" xr3:uid="{04DD2D0F-8DD0-4BBF-8DAE-9D401BBF7150}" name="11" dataDxfId="1012" totalsRowDxfId="1011"/>
    <tableColumn id="13" xr3:uid="{0EDF1C1C-F914-4738-A705-A293B74EC1FF}" name="12" dataDxfId="1010" totalsRowDxfId="1009"/>
    <tableColumn id="14" xr3:uid="{9913A4AA-FD04-4D27-B7C4-8A3004CB3DB6}" name="13" dataDxfId="1008" totalsRowDxfId="1007"/>
    <tableColumn id="15" xr3:uid="{D4D76B5E-AE71-49FC-86B8-3814148D6D86}" name="14" dataDxfId="1006" totalsRowDxfId="1005"/>
    <tableColumn id="16" xr3:uid="{0C145AE1-0B63-42A0-A205-92CE31213950}" name="15" dataDxfId="1004" totalsRowDxfId="1003"/>
    <tableColumn id="17" xr3:uid="{E29E7E0F-3FB3-4FA2-82AE-07E5A3E75732}" name="16" dataDxfId="1002" totalsRowDxfId="1001"/>
    <tableColumn id="18" xr3:uid="{6B5CF43B-C069-46C1-9B37-23B0B3F56EA8}" name="17" dataDxfId="1000" totalsRowDxfId="999"/>
    <tableColumn id="19" xr3:uid="{A430711F-9A75-4054-8A23-E8D4A72BEDF2}" name="18" dataDxfId="998" totalsRowDxfId="997"/>
    <tableColumn id="20" xr3:uid="{680C1610-37FD-47C8-AC68-298EC5A9C22D}" name="19" dataDxfId="996" totalsRowDxfId="995"/>
    <tableColumn id="21" xr3:uid="{9C4C41C5-AA4A-46A9-8011-50BCE0E46948}" name="20" dataDxfId="994" totalsRowDxfId="993"/>
    <tableColumn id="22" xr3:uid="{8877BCA8-E2DC-4055-9AA2-705B8701329D}" name="21" dataDxfId="992" totalsRowDxfId="991"/>
    <tableColumn id="23" xr3:uid="{12C17E8E-EB9A-4788-80A4-4A1883079BCC}" name="22" dataDxfId="990" totalsRowDxfId="989"/>
    <tableColumn id="24" xr3:uid="{ECB4242B-502F-4139-83F0-8D974A5CCAC8}" name="23" dataDxfId="988" totalsRowDxfId="987"/>
    <tableColumn id="25" xr3:uid="{CE8BA00D-762F-487D-90FB-964ADA1676D5}" name="24" dataDxfId="986" totalsRowDxfId="985"/>
    <tableColumn id="26" xr3:uid="{6363E434-8800-492A-987E-F3756615A7AF}" name="25" dataDxfId="984" totalsRowDxfId="983"/>
    <tableColumn id="27" xr3:uid="{F384D515-BDF0-45DA-86F7-1B64A33FD043}" name="26" dataDxfId="982" totalsRowDxfId="981"/>
    <tableColumn id="28" xr3:uid="{AB772BFA-761A-438E-9859-8EF8475E7A71}" name="27" dataDxfId="980" totalsRowDxfId="979"/>
    <tableColumn id="29" xr3:uid="{D5AC1BFC-6E53-446F-AFC9-A7E4CAC8686D}" name="28" dataDxfId="978" totalsRowDxfId="977"/>
    <tableColumn id="30" xr3:uid="{EE4127B2-61F8-44E1-9F51-B3D9276E918F}" name="29" dataDxfId="976" totalsRowDxfId="975"/>
    <tableColumn id="31" xr3:uid="{EAABADDB-8E30-4893-A630-0210DA9ECECE}" name="30" dataDxfId="974" totalsRowDxfId="973"/>
    <tableColumn id="32" xr3:uid="{525E195B-D830-45F8-A479-C385B272FCAE}" name=" " dataDxfId="972" totalsRowDxfId="971" dataCellStyle="Total"/>
    <tableColumn id="33" xr3:uid="{807CE143-5959-4324-881F-F3DBBB58949F}" name="Nombre de location" dataDxfId="970" totalsRowDxfId="969" dataCellStyle="Total">
      <calculatedColumnFormula>COUNTA(Novembre2710[[#This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918549C-F7FC-483B-925F-C69CF7C507A2}" name="Novembre27" displayName="Novembre27" ref="B8:AH16" totalsRowShown="0" headerRowDxfId="2134" dataDxfId="2133" totalsRowDxfId="2132">
  <tableColumns count="33">
    <tableColumn id="1" xr3:uid="{8A88C4FD-3675-40A4-969E-E608484AD513}" name="Materiel Comité" dataDxfId="2131" totalsRowDxfId="2130" dataCellStyle="Employé"/>
    <tableColumn id="2" xr3:uid="{58E82FB6-5C34-431C-9776-B860B99E9614}" name="1" dataDxfId="2129" totalsRowDxfId="2128"/>
    <tableColumn id="3" xr3:uid="{B48C53E5-E56A-425B-923D-7A32752339BE}" name="2" dataDxfId="2127" totalsRowDxfId="2126"/>
    <tableColumn id="4" xr3:uid="{2FDCE46D-CA26-48F1-8284-6A9604337C0B}" name="3" dataDxfId="2125" totalsRowDxfId="2124"/>
    <tableColumn id="5" xr3:uid="{88B7D61D-9CD9-4AFB-AAB0-E206B09FF433}" name="4" dataDxfId="2123" totalsRowDxfId="2122"/>
    <tableColumn id="6" xr3:uid="{0DAA72CD-9C46-44C6-A3A9-C043CC903AD0}" name="5" dataDxfId="2121" totalsRowDxfId="2120"/>
    <tableColumn id="7" xr3:uid="{87F945E0-3EA2-4174-B3AE-B588EC42F6E5}" name="6" dataDxfId="2119" totalsRowDxfId="2118"/>
    <tableColumn id="8" xr3:uid="{26AEDEB5-86FE-4119-80A6-4BD425945690}" name="7" dataDxfId="2117" totalsRowDxfId="2116"/>
    <tableColumn id="9" xr3:uid="{4E76ED81-2094-43AD-AB42-E632374CC1FE}" name="8" dataDxfId="2115" totalsRowDxfId="2114"/>
    <tableColumn id="10" xr3:uid="{8679FF61-BAE7-438A-8181-9B9E0944E349}" name="9" dataDxfId="2113" totalsRowDxfId="2112"/>
    <tableColumn id="11" xr3:uid="{D830F1BC-F335-42E1-91D1-1D63AC74C622}" name="10" dataDxfId="2111" totalsRowDxfId="2110"/>
    <tableColumn id="12" xr3:uid="{DA27AE05-2731-435D-97DA-B27835012DE0}" name="11" dataDxfId="2109" totalsRowDxfId="2108"/>
    <tableColumn id="13" xr3:uid="{5CFAB6E5-E1B2-4ADE-82B9-09AFD2BFE72B}" name="12" dataDxfId="2107" totalsRowDxfId="2106"/>
    <tableColumn id="14" xr3:uid="{21B4C91B-6B13-4C36-95AB-0C6F2998460E}" name="13" dataDxfId="2105" totalsRowDxfId="2104"/>
    <tableColumn id="15" xr3:uid="{E2037EED-686B-4A8B-BEB4-611868394BD1}" name="14" dataDxfId="2103" totalsRowDxfId="2102"/>
    <tableColumn id="16" xr3:uid="{4C3E4125-41F9-440C-B88C-A36C7E1B5CB6}" name="15" dataDxfId="2101" totalsRowDxfId="2100"/>
    <tableColumn id="17" xr3:uid="{CCE6717A-56DF-443C-8390-CFA302DAE942}" name="16" dataDxfId="2099" totalsRowDxfId="2098"/>
    <tableColumn id="18" xr3:uid="{AFD4D0E7-1B50-4FAB-BAC9-F8169FFC57AC}" name="17" dataDxfId="2097" totalsRowDxfId="2096"/>
    <tableColumn id="19" xr3:uid="{A7E7F864-AE8C-4F88-879A-147CFC888383}" name="18" dataDxfId="2095" totalsRowDxfId="2094"/>
    <tableColumn id="20" xr3:uid="{5938D17B-B5A5-4784-AA2A-B13D73C84C06}" name="19" dataDxfId="2093" totalsRowDxfId="2092"/>
    <tableColumn id="21" xr3:uid="{789338E5-C80E-42CC-B634-D51FBBC462BC}" name="20" dataDxfId="2091" totalsRowDxfId="2090"/>
    <tableColumn id="22" xr3:uid="{DCB917A5-B7B4-491A-91EC-F684B3724A87}" name="21" dataDxfId="2089" totalsRowDxfId="2088"/>
    <tableColumn id="23" xr3:uid="{B318EE92-6759-4E60-B082-34BDB2CBF986}" name="22" dataDxfId="2087" totalsRowDxfId="2086"/>
    <tableColumn id="24" xr3:uid="{66AA0EA2-80C8-42CB-B112-C662ED473D84}" name="23" dataDxfId="2085" totalsRowDxfId="2084"/>
    <tableColumn id="25" xr3:uid="{41D31F2E-F262-4686-B116-700A926CBA6D}" name="24" dataDxfId="2083" totalsRowDxfId="2082"/>
    <tableColumn id="26" xr3:uid="{D4EB36AE-6165-452D-9370-16BD687E5D02}" name="25" dataDxfId="2081" totalsRowDxfId="2080"/>
    <tableColumn id="27" xr3:uid="{D3F54B65-A75F-4CD8-9BD4-E238BDB986F3}" name="26" dataDxfId="2079" totalsRowDxfId="2078"/>
    <tableColumn id="28" xr3:uid="{1E1563F2-D394-415A-9649-26CD4400D866}" name="27" dataDxfId="2077" totalsRowDxfId="2076"/>
    <tableColumn id="29" xr3:uid="{493F4304-699A-4D74-AFF1-7DC64257E61D}" name="28" dataDxfId="2075" totalsRowDxfId="2074"/>
    <tableColumn id="30" xr3:uid="{22793F79-6C72-4091-8AB0-C370C2D57B1D}" name="29" dataDxfId="2073" totalsRowDxfId="2072"/>
    <tableColumn id="31" xr3:uid="{AA951BF6-0D74-4919-81CC-233562AB38E9}" name="30" dataDxfId="2071" totalsRowDxfId="2070"/>
    <tableColumn id="32" xr3:uid="{12F6E90C-62EE-4074-B12C-2DFEF604EB1B}" name="31" dataDxfId="2069" totalsRowDxfId="2068" dataCellStyle="Total"/>
    <tableColumn id="33" xr3:uid="{714F2342-1CCD-4E61-8268-D27CD63B9CFF}" name="Nombre de location" dataDxfId="2067" totalsRowDxfId="2066" dataCellStyle="Total">
      <calculatedColumnFormula>COUNTA(Novembre27[[#This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39CDC9-240A-4CAA-B291-586DE7569DC5}" name="Novembre2" displayName="Novembre2" ref="B8:AH16" totalsRowShown="0" headerRowDxfId="968" dataDxfId="967" totalsRowDxfId="966">
  <tableColumns count="33">
    <tableColumn id="1" xr3:uid="{F0A75740-2360-429C-8881-79A6B8008A79}" name="Materiel Comité" dataDxfId="965" totalsRowDxfId="964" dataCellStyle="Employé"/>
    <tableColumn id="2" xr3:uid="{3CA03655-A195-434F-B6A8-EE0FAABB763D}" name="1" dataDxfId="963" totalsRowDxfId="962"/>
    <tableColumn id="3" xr3:uid="{723B639E-67C6-4108-AAB8-79D4FCED84EF}" name="2" dataDxfId="961" totalsRowDxfId="960"/>
    <tableColumn id="4" xr3:uid="{4690C8A8-A955-4F77-8CCA-04A0CF0950EA}" name="3" dataDxfId="959" totalsRowDxfId="958"/>
    <tableColumn id="5" xr3:uid="{1E18FAE3-82F2-497B-B23D-79006C4ABE19}" name="4" dataDxfId="957" totalsRowDxfId="956"/>
    <tableColumn id="6" xr3:uid="{D84FFEE4-B0A2-4CD3-83E4-4C0D45AC8FBC}" name="5" dataDxfId="955" totalsRowDxfId="954"/>
    <tableColumn id="7" xr3:uid="{8FC6EBF2-D867-4B25-9A19-C3CEFC780024}" name="6" dataDxfId="953" totalsRowDxfId="952"/>
    <tableColumn id="8" xr3:uid="{527C2CFB-229C-4FBC-9C4B-78710C40819F}" name="7" dataDxfId="951" totalsRowDxfId="950"/>
    <tableColumn id="9" xr3:uid="{29089CAC-5DEB-4110-98F5-3F29227C00D0}" name="8" dataDxfId="949" totalsRowDxfId="948"/>
    <tableColumn id="10" xr3:uid="{FC6A8AC9-38A9-47CF-9B88-D0D4A04306BF}" name="9" dataDxfId="947" totalsRowDxfId="946"/>
    <tableColumn id="11" xr3:uid="{A7DB3FC3-3AEA-4D8F-8000-F5A8EC8FE252}" name="10" dataDxfId="945" totalsRowDxfId="944"/>
    <tableColumn id="12" xr3:uid="{0EFFB0AD-D19D-47D6-95D8-3F53BA695A38}" name="11" dataDxfId="943" totalsRowDxfId="942"/>
    <tableColumn id="13" xr3:uid="{26EA2D5C-9AD6-402F-B16F-ACC83B47FADF}" name="12" dataDxfId="941" totalsRowDxfId="940"/>
    <tableColumn id="14" xr3:uid="{DE5A35DF-2E34-4C3D-80AF-4049CEE4B2C2}" name="13" dataDxfId="939" totalsRowDxfId="938"/>
    <tableColumn id="15" xr3:uid="{24AE2F74-68FC-45B7-BEA7-B563AE62AB57}" name="14" dataDxfId="937" totalsRowDxfId="936"/>
    <tableColumn id="16" xr3:uid="{D8D52C38-0381-4EB7-ADCD-D4FDA86838C5}" name="15" dataDxfId="935" totalsRowDxfId="934"/>
    <tableColumn id="17" xr3:uid="{1FDD1992-753C-480C-AECA-D6474DC97004}" name="16" dataDxfId="933" totalsRowDxfId="932"/>
    <tableColumn id="18" xr3:uid="{0E8E55C5-E1C6-4946-8522-C2F4D14D4DC0}" name="17" dataDxfId="931" totalsRowDxfId="930"/>
    <tableColumn id="19" xr3:uid="{0F67CC7F-C2BC-4E09-A34A-832641A32821}" name="18" dataDxfId="929" totalsRowDxfId="928"/>
    <tableColumn id="20" xr3:uid="{FDF2A09D-1827-49D3-8703-5737C2C05ECC}" name="19" dataDxfId="927" totalsRowDxfId="926"/>
    <tableColumn id="21" xr3:uid="{FC1ABCC5-67DB-4A4A-AEC1-0BF3900E9CDB}" name="20" dataDxfId="925" totalsRowDxfId="924"/>
    <tableColumn id="22" xr3:uid="{5B31AD53-AFCF-42F2-A29D-6672568FB145}" name="21" dataDxfId="923" totalsRowDxfId="922"/>
    <tableColumn id="23" xr3:uid="{55C49225-1F41-4BD4-A6B2-327977CE1A92}" name="22" dataDxfId="921" totalsRowDxfId="920"/>
    <tableColumn id="24" xr3:uid="{4894E424-54DF-41C7-80C2-341E79FC6E63}" name="23" dataDxfId="919" totalsRowDxfId="918"/>
    <tableColumn id="25" xr3:uid="{AB70D06F-17C0-414D-A7D3-E700B42A9153}" name="24" dataDxfId="917" totalsRowDxfId="916"/>
    <tableColumn id="26" xr3:uid="{9665AD80-C661-4266-A625-966E232C514F}" name="25" dataDxfId="915" totalsRowDxfId="914"/>
    <tableColumn id="27" xr3:uid="{BAEAF2A8-4131-4278-9749-4CDCC1FED0FC}" name="26" dataDxfId="913" totalsRowDxfId="912"/>
    <tableColumn id="28" xr3:uid="{EA308315-70E1-478E-82FA-78B0381C7BAB}" name="27" dataDxfId="911" totalsRowDxfId="910"/>
    <tableColumn id="29" xr3:uid="{AE70677E-65E7-4AD5-BC8C-C2A7D319CE7F}" name="28" dataDxfId="909" totalsRowDxfId="908"/>
    <tableColumn id="30" xr3:uid="{E597DE43-FE1F-4377-A558-15F91A1422B7}" name="29" dataDxfId="907" totalsRowDxfId="906"/>
    <tableColumn id="31" xr3:uid="{E1F32E2F-6506-423B-B501-21A30DC86B7A}" name="30" dataDxfId="905" totalsRowDxfId="904"/>
    <tableColumn id="32" xr3:uid="{B00257FC-D6B4-4EF4-B8BA-87E6124DB461}" name=" " dataDxfId="903" totalsRowDxfId="902" dataCellStyle="Total"/>
    <tableColumn id="33" xr3:uid="{09368FDC-F89E-426A-8B69-E0D53080393B}" name="Nombre de location" dataDxfId="901" totalsRowDxfId="900" dataCellStyle="Total">
      <calculatedColumnFormula>COUNTA(Novembre2[[#This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958C21A-E61B-48EF-A78C-36214FC94CF8}" name="Juillet12" displayName="Juillet12" ref="B8:AH16" totalsRowShown="0" headerRowDxfId="899" dataDxfId="898" totalsRowDxfId="897">
  <tableColumns count="33">
    <tableColumn id="1" xr3:uid="{F4108B60-B138-4ED8-86B9-8384993DD7BF}" name="Materiel Comité" dataDxfId="896" totalsRowDxfId="895" dataCellStyle="Employé"/>
    <tableColumn id="2" xr3:uid="{9189217D-E3FB-409E-900F-80ECFC5FCB6F}" name="1" dataDxfId="894" totalsRowDxfId="893"/>
    <tableColumn id="3" xr3:uid="{C58BEAB4-1F87-4A99-A4EB-62D8C6024E61}" name="2" dataDxfId="892" totalsRowDxfId="891"/>
    <tableColumn id="4" xr3:uid="{59351F5E-EB6D-49C0-B42D-2C7FE6DBD66D}" name="3" dataDxfId="890" totalsRowDxfId="889"/>
    <tableColumn id="5" xr3:uid="{C13E163B-0A97-468D-BB9C-6B8C77D8FAC7}" name="4" dataDxfId="888" totalsRowDxfId="887"/>
    <tableColumn id="6" xr3:uid="{88DD5F72-3221-4A77-BFE0-467AE8FB180B}" name="5" dataDxfId="886" totalsRowDxfId="885"/>
    <tableColumn id="7" xr3:uid="{D6FC0F62-FF29-4398-818C-A6DCDE54A851}" name="6" dataDxfId="884" totalsRowDxfId="883"/>
    <tableColumn id="8" xr3:uid="{D31C4D86-B6D7-4149-9C3C-735D3936604A}" name="7" dataDxfId="882" totalsRowDxfId="881"/>
    <tableColumn id="9" xr3:uid="{99B4AEE6-E905-405F-9BF5-E55BE07B2033}" name="8" dataDxfId="880" totalsRowDxfId="879"/>
    <tableColumn id="10" xr3:uid="{7A37A55F-0500-48D5-8DAB-76A61592A48C}" name="9" dataDxfId="878" totalsRowDxfId="877"/>
    <tableColumn id="11" xr3:uid="{5F848166-E11B-492E-BA3E-2183BA7B2064}" name="10" dataDxfId="876" totalsRowDxfId="875"/>
    <tableColumn id="12" xr3:uid="{9309FD30-5AC3-4ACE-9CC1-E220703D5D2C}" name="11" dataDxfId="874" totalsRowDxfId="873"/>
    <tableColumn id="13" xr3:uid="{33713417-18FB-4C06-A47B-F49D992CDE85}" name="12" dataDxfId="872" totalsRowDxfId="871"/>
    <tableColumn id="14" xr3:uid="{59DC2D93-007F-4A5A-B6E6-B5BF7160B879}" name="13" dataDxfId="870" totalsRowDxfId="869"/>
    <tableColumn id="15" xr3:uid="{25DEC425-C525-4DD7-907B-FEF175A7965F}" name="14" dataDxfId="868" totalsRowDxfId="867"/>
    <tableColumn id="16" xr3:uid="{34E6A8E5-C93B-4479-9B31-79E691ADC3A5}" name="15" dataDxfId="866" totalsRowDxfId="865"/>
    <tableColumn id="17" xr3:uid="{0C02D42A-70D9-4D05-B0AA-E1A6CD95B211}" name="16" dataDxfId="864" totalsRowDxfId="863"/>
    <tableColumn id="18" xr3:uid="{B90B67D3-0688-49E8-B9E4-D87CC7580713}" name="17" dataDxfId="862" totalsRowDxfId="861"/>
    <tableColumn id="19" xr3:uid="{06795667-D519-4FA4-9F93-63D0CFB6D083}" name="18" dataDxfId="860" totalsRowDxfId="859"/>
    <tableColumn id="20" xr3:uid="{0619303F-315B-492C-A7CF-3F91B5F72BE7}" name="19" dataDxfId="858" totalsRowDxfId="857"/>
    <tableColumn id="21" xr3:uid="{88E5361C-EA66-4BE2-AEEC-74269D503DEB}" name="20" dataDxfId="856" totalsRowDxfId="855"/>
    <tableColumn id="22" xr3:uid="{46E4C57A-E874-4FE4-B22A-ADCF83069BD1}" name="21" dataDxfId="854" totalsRowDxfId="853"/>
    <tableColumn id="23" xr3:uid="{A05C8397-159E-4168-90EF-352D1CBCC51D}" name="22" dataDxfId="852" totalsRowDxfId="851"/>
    <tableColumn id="24" xr3:uid="{92A455A7-C743-4288-A7D7-B4F6E564133B}" name="23" dataDxfId="850" totalsRowDxfId="849"/>
    <tableColumn id="25" xr3:uid="{3BF7DB51-50F7-40AA-985B-A7153AD9DEAA}" name="24" dataDxfId="848" totalsRowDxfId="847"/>
    <tableColumn id="26" xr3:uid="{B0E3A18A-5F41-48CA-8FC5-D01CC047E929}" name="25" dataDxfId="846" totalsRowDxfId="845"/>
    <tableColumn id="27" xr3:uid="{CFED2A58-89D2-4BBE-952A-990A372708B6}" name="26" dataDxfId="844" totalsRowDxfId="843"/>
    <tableColumn id="28" xr3:uid="{5FA7EC0D-EA7F-4C7E-AC53-33F7F64F1FAB}" name="27" dataDxfId="842" totalsRowDxfId="841"/>
    <tableColumn id="29" xr3:uid="{B368EFBD-B8CF-41E9-8E4F-F8BDFEF7A101}" name="28" dataDxfId="840" totalsRowDxfId="839"/>
    <tableColumn id="30" xr3:uid="{63725BBD-60A0-4D8E-93D7-1CEF5F979609}" name="29" dataDxfId="838" totalsRowDxfId="837"/>
    <tableColumn id="31" xr3:uid="{0483F076-90DD-4B68-A2C2-66487EA5D9D5}" name="30" dataDxfId="836" totalsRowDxfId="835"/>
    <tableColumn id="32" xr3:uid="{C5FB3168-D243-42C9-9FD9-CD20DE5D534A}" name="31" dataDxfId="834" totalsRowDxfId="833" dataCellStyle="Total"/>
    <tableColumn id="33" xr3:uid="{8ADF6D27-DBAE-4D9D-A75B-47B9123871A4}" name="Nombre de location" dataDxfId="832" totalsRowDxfId="831" dataCellStyle="Total">
      <calculatedColumnFormula>COUNTA(Juillet12[[#This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Février" displayName="Février" ref="B8:AH16" totalsRowShown="0" headerRowDxfId="1997" dataDxfId="1996" totalsRowDxfId="1995">
  <tableColumns count="33">
    <tableColumn id="1" xr3:uid="{00000000-0010-0000-0100-000001000000}" name="Materiel Comité" dataDxfId="1994" totalsRowDxfId="1993" dataCellStyle="Employé"/>
    <tableColumn id="2" xr3:uid="{00000000-0010-0000-0100-000002000000}" name="1" dataDxfId="1992" totalsRowDxfId="1991" dataCellStyle="Total"/>
    <tableColumn id="3" xr3:uid="{00000000-0010-0000-0100-000003000000}" name="2" dataDxfId="1990" totalsRowDxfId="1989" dataCellStyle="Total"/>
    <tableColumn id="4" xr3:uid="{00000000-0010-0000-0100-000004000000}" name="3" dataDxfId="1988" totalsRowDxfId="1987" dataCellStyle="Total"/>
    <tableColumn id="5" xr3:uid="{00000000-0010-0000-0100-000005000000}" name="4" dataDxfId="1986" totalsRowDxfId="1985" dataCellStyle="Total"/>
    <tableColumn id="6" xr3:uid="{00000000-0010-0000-0100-000006000000}" name="5" dataDxfId="1984" totalsRowDxfId="1983" dataCellStyle="Total"/>
    <tableColumn id="7" xr3:uid="{00000000-0010-0000-0100-000007000000}" name="6" dataDxfId="1982" totalsRowDxfId="1981" dataCellStyle="Total"/>
    <tableColumn id="8" xr3:uid="{00000000-0010-0000-0100-000008000000}" name="7" dataDxfId="1980" totalsRowDxfId="1979" dataCellStyle="Total"/>
    <tableColumn id="9" xr3:uid="{00000000-0010-0000-0100-000009000000}" name="8" dataDxfId="1978" totalsRowDxfId="1977" dataCellStyle="Total"/>
    <tableColumn id="10" xr3:uid="{00000000-0010-0000-0100-00000A000000}" name="9" dataDxfId="1976" totalsRowDxfId="1975" dataCellStyle="Total"/>
    <tableColumn id="11" xr3:uid="{00000000-0010-0000-0100-00000B000000}" name="10" dataDxfId="1974" totalsRowDxfId="1973" dataCellStyle="Total"/>
    <tableColumn id="12" xr3:uid="{00000000-0010-0000-0100-00000C000000}" name="11" dataDxfId="1972" totalsRowDxfId="1971" dataCellStyle="Total"/>
    <tableColumn id="13" xr3:uid="{00000000-0010-0000-0100-00000D000000}" name="12" dataDxfId="1970" totalsRowDxfId="1969" dataCellStyle="Total"/>
    <tableColumn id="14" xr3:uid="{00000000-0010-0000-0100-00000E000000}" name="13" dataDxfId="1968" totalsRowDxfId="1967" dataCellStyle="Total"/>
    <tableColumn id="15" xr3:uid="{00000000-0010-0000-0100-00000F000000}" name="14" dataDxfId="1966" totalsRowDxfId="1965" dataCellStyle="Total"/>
    <tableColumn id="16" xr3:uid="{00000000-0010-0000-0100-000010000000}" name="15" dataDxfId="1964" totalsRowDxfId="1963" dataCellStyle="Total"/>
    <tableColumn id="17" xr3:uid="{00000000-0010-0000-0100-000011000000}" name="16" dataDxfId="1962" totalsRowDxfId="1961" dataCellStyle="Total"/>
    <tableColumn id="18" xr3:uid="{00000000-0010-0000-0100-000012000000}" name="17" dataDxfId="1960" totalsRowDxfId="1959" dataCellStyle="Total"/>
    <tableColumn id="19" xr3:uid="{00000000-0010-0000-0100-000013000000}" name="18" dataDxfId="1958" totalsRowDxfId="1957" dataCellStyle="Total"/>
    <tableColumn id="20" xr3:uid="{00000000-0010-0000-0100-000014000000}" name="19" dataDxfId="1956" totalsRowDxfId="1955" dataCellStyle="Total"/>
    <tableColumn id="21" xr3:uid="{00000000-0010-0000-0100-000015000000}" name="20" dataDxfId="1954" totalsRowDxfId="1953" dataCellStyle="Total"/>
    <tableColumn id="22" xr3:uid="{00000000-0010-0000-0100-000016000000}" name="21" dataDxfId="1952" totalsRowDxfId="1951" dataCellStyle="Total"/>
    <tableColumn id="23" xr3:uid="{00000000-0010-0000-0100-000017000000}" name="22" dataDxfId="1950" totalsRowDxfId="1949" dataCellStyle="Total"/>
    <tableColumn id="24" xr3:uid="{00000000-0010-0000-0100-000018000000}" name="23" dataDxfId="1948" totalsRowDxfId="1947" dataCellStyle="Total"/>
    <tableColumn id="25" xr3:uid="{00000000-0010-0000-0100-000019000000}" name="24" dataDxfId="1946" totalsRowDxfId="1945" dataCellStyle="Total"/>
    <tableColumn id="26" xr3:uid="{00000000-0010-0000-0100-00001A000000}" name="25" dataDxfId="1944" totalsRowDxfId="1943" dataCellStyle="Total"/>
    <tableColumn id="27" xr3:uid="{00000000-0010-0000-0100-00001B000000}" name="26" dataDxfId="1942" totalsRowDxfId="1941" dataCellStyle="Total"/>
    <tableColumn id="28" xr3:uid="{00000000-0010-0000-0100-00001C000000}" name="27" dataDxfId="1940" totalsRowDxfId="1939" dataCellStyle="Total"/>
    <tableColumn id="29" xr3:uid="{00000000-0010-0000-0100-00001D000000}" name="28" dataDxfId="1938" totalsRowDxfId="1937" dataCellStyle="Total"/>
    <tableColumn id="30" xr3:uid="{00000000-0010-0000-0100-00001E000000}" name="29" dataDxfId="1936" totalsRowDxfId="1935" dataCellStyle="Total"/>
    <tableColumn id="31" xr3:uid="{00000000-0010-0000-0100-00001F000000}" name=" " dataDxfId="1934" totalsRowDxfId="1933" dataCellStyle="Total"/>
    <tableColumn id="32" xr3:uid="{00000000-0010-0000-0100-000020000000}" name="  " dataDxfId="1932" totalsRowDxfId="1931" dataCellStyle="Total"/>
    <tableColumn id="33" xr3:uid="{00000000-0010-0000-0100-000021000000}" name="Nombre de location" dataDxfId="1930" totalsRowDxfId="1929" dataCellStyle="Total">
      <calculatedColumnFormula>COUNTA(Février[[#This Row],[1]:[29]])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010D9A5-3C5B-4463-8FBC-3DF85AF589C5}" name="Août14" displayName="Août14" ref="B8:AH16" totalsRowShown="0" headerRowDxfId="830" dataDxfId="829" totalsRowDxfId="828">
  <tableColumns count="33">
    <tableColumn id="1" xr3:uid="{3F3B1467-92E5-4FF5-9EE0-E64B4F318FF3}" name="Materiel Comité" dataDxfId="827" totalsRowDxfId="826" dataCellStyle="Employé"/>
    <tableColumn id="2" xr3:uid="{EFDAE1AE-0D78-4C72-83C5-2AA8BBB91E4E}" name="1" dataDxfId="825" totalsRowDxfId="824"/>
    <tableColumn id="3" xr3:uid="{3BCE1664-22EF-412B-BCF1-7B0271E162C6}" name="2" dataDxfId="823" totalsRowDxfId="822"/>
    <tableColumn id="4" xr3:uid="{AEC326AC-FFBA-4BB8-A9A3-1E6B5164D419}" name="3" dataDxfId="821" totalsRowDxfId="820"/>
    <tableColumn id="5" xr3:uid="{8D3B869E-0447-406C-AB57-943315CC30E5}" name="4" dataDxfId="819" totalsRowDxfId="818"/>
    <tableColumn id="6" xr3:uid="{AF399EC7-FFC7-4F2C-BF54-F08E06D774BF}" name="5" dataDxfId="817" totalsRowDxfId="816"/>
    <tableColumn id="7" xr3:uid="{8B2C8F93-C49D-48B1-BEE5-91229B7B8FCB}" name="6" dataDxfId="815" totalsRowDxfId="814"/>
    <tableColumn id="8" xr3:uid="{022E8083-5E0A-4A26-9C75-A8131EC5AA47}" name="7" dataDxfId="813" totalsRowDxfId="812"/>
    <tableColumn id="9" xr3:uid="{9FB6B2D6-F300-4432-8F35-8300D3D41C54}" name="8" dataDxfId="811" totalsRowDxfId="810"/>
    <tableColumn id="10" xr3:uid="{1449C85C-6A67-476D-B6D2-E04E9BE9CA3F}" name="9" dataDxfId="809" totalsRowDxfId="808"/>
    <tableColumn id="11" xr3:uid="{1351E5AB-1465-4D52-B2D4-7D7BE311800B}" name="10" dataDxfId="807" totalsRowDxfId="806"/>
    <tableColumn id="12" xr3:uid="{6BC12FBB-9AA1-4BF3-AD01-8B34003E5690}" name="11" dataDxfId="805" totalsRowDxfId="804"/>
    <tableColumn id="13" xr3:uid="{6539DCB6-FFC6-48E9-B0DC-7FDB481DA576}" name="12" dataDxfId="803" totalsRowDxfId="802"/>
    <tableColumn id="14" xr3:uid="{15837AB0-8C72-4914-AFB9-7FEB7B2CEEF8}" name="13" dataDxfId="801" totalsRowDxfId="800"/>
    <tableColumn id="15" xr3:uid="{109C5896-D288-42F7-B18A-1C9DC788EEE5}" name="14" dataDxfId="799" totalsRowDxfId="798"/>
    <tableColumn id="16" xr3:uid="{41DA0539-68AF-4EEF-879F-445733B107DF}" name="15" dataDxfId="797" totalsRowDxfId="796"/>
    <tableColumn id="17" xr3:uid="{0E19C432-3CB0-47A7-8216-9C19424497B3}" name="16" dataDxfId="795" totalsRowDxfId="794"/>
    <tableColumn id="18" xr3:uid="{762AE301-5C9E-4F2C-B8DB-3341B45933A9}" name="17" dataDxfId="793" totalsRowDxfId="792"/>
    <tableColumn id="19" xr3:uid="{3D6285AB-28FA-4448-AA05-1DEC79DAB017}" name="18" dataDxfId="791" totalsRowDxfId="790"/>
    <tableColumn id="20" xr3:uid="{91FD0568-905A-4C78-8B16-2187F0E8D063}" name="19" dataDxfId="789" totalsRowDxfId="788"/>
    <tableColumn id="21" xr3:uid="{8C2391C7-F7F8-4CF0-90A1-B1E229429E3F}" name="20" dataDxfId="787" totalsRowDxfId="786"/>
    <tableColumn id="22" xr3:uid="{14F5304E-490B-4E6E-B301-DB882C3619F1}" name="21" dataDxfId="785" totalsRowDxfId="784"/>
    <tableColumn id="23" xr3:uid="{53AF416F-428A-402D-A74E-620A13F5CCDD}" name="22" dataDxfId="783" totalsRowDxfId="782"/>
    <tableColumn id="24" xr3:uid="{5F9FB3EA-8D54-41DC-8B5F-9154C61AB7A7}" name="23" dataDxfId="781" totalsRowDxfId="780"/>
    <tableColumn id="25" xr3:uid="{ABCA5979-8D81-4A61-925A-E072AD193C82}" name="24" dataDxfId="779" totalsRowDxfId="778"/>
    <tableColumn id="26" xr3:uid="{13FB0BC5-AC77-40A1-9672-322B1EC12868}" name="25" dataDxfId="777" totalsRowDxfId="776"/>
    <tableColumn id="27" xr3:uid="{50690143-7FAA-499E-8AB0-4BFDD73E5889}" name="26" dataDxfId="775" totalsRowDxfId="774"/>
    <tableColumn id="28" xr3:uid="{8F93856F-345C-41E7-A930-282F4E85085B}" name="27" dataDxfId="773" totalsRowDxfId="772"/>
    <tableColumn id="29" xr3:uid="{050DF38E-46CF-42A7-B03A-BDC889E7416D}" name="28" dataDxfId="771" totalsRowDxfId="770"/>
    <tableColumn id="30" xr3:uid="{79F46FF0-BAFD-4C6B-99F0-1A4D7A51876A}" name="29" dataDxfId="769" totalsRowDxfId="768"/>
    <tableColumn id="31" xr3:uid="{B5035561-7B29-46DF-A126-A056FB80AB36}" name="30" dataDxfId="767" totalsRowDxfId="766"/>
    <tableColumn id="32" xr3:uid="{70FEF210-B05D-4B01-B33D-9B9382BF4190}" name="31" dataDxfId="765" totalsRowDxfId="764" dataCellStyle="Total"/>
    <tableColumn id="33" xr3:uid="{199AC76B-D44E-464B-9293-396C185A8917}" name="Nombre de location" dataDxfId="763" totalsRowDxfId="762" dataCellStyle="Total">
      <calculatedColumnFormula>COUNTA(Août14[[#This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95A3A09-63C6-4335-AA4A-40750DE22C12}" name="Septembre16" displayName="Septembre16" ref="B8:AH16" totalsRowShown="0" headerRowDxfId="761" dataDxfId="760" totalsRowDxfId="759">
  <tableColumns count="33">
    <tableColumn id="1" xr3:uid="{F751522B-621F-4477-8D1A-67A9D40F0687}" name="Materiel Comité" dataDxfId="758" totalsRowDxfId="757" dataCellStyle="Employé"/>
    <tableColumn id="2" xr3:uid="{08DE98A0-C532-404B-A9F0-6E6245224AFC}" name="1" dataDxfId="756" totalsRowDxfId="755"/>
    <tableColumn id="3" xr3:uid="{587376D3-65A8-4EB0-B17A-F619CCEF46F1}" name="2" dataDxfId="754" totalsRowDxfId="753"/>
    <tableColumn id="4" xr3:uid="{0D3B66CC-F132-44AE-8314-4EA22BF1FD59}" name="3" dataDxfId="752" totalsRowDxfId="751"/>
    <tableColumn id="5" xr3:uid="{E455FC4F-A7C9-41B7-887A-91A90C871C2F}" name="4" dataDxfId="750" totalsRowDxfId="749"/>
    <tableColumn id="6" xr3:uid="{CB07B6CD-1C63-4934-A14E-A51DB7A65886}" name="5" dataDxfId="748" totalsRowDxfId="747"/>
    <tableColumn id="7" xr3:uid="{2ACAE70B-95E9-41F8-814A-A44DDD53C95A}" name="6" dataDxfId="746" totalsRowDxfId="745"/>
    <tableColumn id="8" xr3:uid="{72723D24-14CF-476B-A4FD-01B97A6D1CD1}" name="7" dataDxfId="744" totalsRowDxfId="743"/>
    <tableColumn id="9" xr3:uid="{DDECDAB0-52EC-4A38-958F-54EE0CA0B382}" name="8" dataDxfId="742" totalsRowDxfId="741"/>
    <tableColumn id="10" xr3:uid="{47B6852D-4828-4913-B236-77A7772124B9}" name="9" dataDxfId="740" totalsRowDxfId="739"/>
    <tableColumn id="11" xr3:uid="{19653791-0C42-4204-91AD-E05214E03817}" name="10" dataDxfId="738" totalsRowDxfId="737"/>
    <tableColumn id="12" xr3:uid="{2F312C2B-B501-4EAA-9BA8-D796AA23DD0A}" name="11" dataDxfId="736" totalsRowDxfId="735"/>
    <tableColumn id="13" xr3:uid="{F923DAF2-9B75-48DB-8DCF-0FA7FF282870}" name="12" dataDxfId="734" totalsRowDxfId="733"/>
    <tableColumn id="14" xr3:uid="{E1DC1D6B-4B9C-4001-BAE8-BAEFC3EEAA6F}" name="13" dataDxfId="732" totalsRowDxfId="731"/>
    <tableColumn id="15" xr3:uid="{A709B432-D0A5-4897-AE10-F7E71110D991}" name="14" dataDxfId="730" totalsRowDxfId="729"/>
    <tableColumn id="16" xr3:uid="{7E9048B0-0850-432B-B5B9-8149DCBC3C1F}" name="15" dataDxfId="728" totalsRowDxfId="727"/>
    <tableColumn id="17" xr3:uid="{3DF3161C-4935-4A1E-A796-11E14DCC41F4}" name="16" dataDxfId="726" totalsRowDxfId="725"/>
    <tableColumn id="18" xr3:uid="{490E39ED-4E69-4197-BA52-1640CF99E812}" name="17" dataDxfId="724" totalsRowDxfId="723"/>
    <tableColumn id="19" xr3:uid="{7492BB49-9181-483D-A021-DE1771F39211}" name="18" dataDxfId="722" totalsRowDxfId="721"/>
    <tableColumn id="20" xr3:uid="{C2AAB6EC-A738-4A5F-BAEA-A81BEFF153D3}" name="19" dataDxfId="720" totalsRowDxfId="719"/>
    <tableColumn id="21" xr3:uid="{5B9594F0-3B6D-498A-9E7F-476B8D40B1C6}" name="20" dataDxfId="718" totalsRowDxfId="717"/>
    <tableColumn id="22" xr3:uid="{822801F0-B647-471A-B9B5-C9FCE7172F15}" name="21" dataDxfId="716" totalsRowDxfId="715"/>
    <tableColumn id="23" xr3:uid="{0AD38F83-59D0-48DF-BC7B-899977278410}" name="22" dataDxfId="714" totalsRowDxfId="713"/>
    <tableColumn id="24" xr3:uid="{E3F16FE8-0EB6-4685-8503-4CD6D9293BDF}" name="23" dataDxfId="712" totalsRowDxfId="711"/>
    <tableColumn id="25" xr3:uid="{3E98C327-8273-461B-B8D8-183C4614746E}" name="24" dataDxfId="710" totalsRowDxfId="709"/>
    <tableColumn id="26" xr3:uid="{715A1D75-C7BB-4095-9885-F10BB0A6854C}" name="25" dataDxfId="708" totalsRowDxfId="707"/>
    <tableColumn id="27" xr3:uid="{170BFF2B-3E7B-4481-8D60-C0C2106A1746}" name="26" dataDxfId="706" totalsRowDxfId="705"/>
    <tableColumn id="28" xr3:uid="{841C550D-DA43-480B-A88C-F65FF7C96BEC}" name="27" dataDxfId="704" totalsRowDxfId="703"/>
    <tableColumn id="29" xr3:uid="{7F7D666E-B223-4469-AB6B-2D0EE47FC52B}" name="28" dataDxfId="702" totalsRowDxfId="701"/>
    <tableColumn id="30" xr3:uid="{0B02FAF4-3BD5-4ED5-B587-89A72ADCB2FF}" name="29" dataDxfId="700" totalsRowDxfId="699"/>
    <tableColumn id="31" xr3:uid="{8FBAEAFC-175B-47FA-8BC6-A78251B5B556}" name="30" dataDxfId="698" totalsRowDxfId="697"/>
    <tableColumn id="32" xr3:uid="{D6AC76B1-B06A-4BFD-9277-0140DA14DB2A}" name=" " dataDxfId="696" totalsRowDxfId="695" dataCellStyle="Total"/>
    <tableColumn id="33" xr3:uid="{E04118A5-5046-4245-A748-585508098C11}" name="Nombre de location" dataDxfId="694" totalsRowDxfId="693" dataCellStyle="Total">
      <calculatedColumnFormula>COUNTA(Septembre16[[#This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8EF69DCD-719A-4351-9AC0-99B7209736D7}" name="Octobre17" displayName="Octobre17" ref="B8:AH16" totalsRowShown="0" headerRowDxfId="692" dataDxfId="691" totalsRowDxfId="690">
  <tableColumns count="33">
    <tableColumn id="1" xr3:uid="{DB33C446-F57C-46EB-978A-0C57F22F5CF5}" name="Materiel Comité" dataDxfId="689" totalsRowDxfId="688" dataCellStyle="Employé"/>
    <tableColumn id="2" xr3:uid="{44076008-82B8-4340-BE00-5E9BF6AC5241}" name="1" dataDxfId="687" totalsRowDxfId="686"/>
    <tableColumn id="3" xr3:uid="{2C8D3BAA-87FF-4682-9354-9B7D7CF27F3F}" name="2" dataDxfId="685" totalsRowDxfId="684"/>
    <tableColumn id="4" xr3:uid="{31DEEF96-9A88-439B-8A42-5E682C4BCDC0}" name="3" dataDxfId="683" totalsRowDxfId="682"/>
    <tableColumn id="5" xr3:uid="{81C0881B-1749-4D80-9FC1-8E1202D08B50}" name="4" dataDxfId="681" totalsRowDxfId="680"/>
    <tableColumn id="6" xr3:uid="{CA308784-BF1A-4BA1-89D5-3EBEB85850BD}" name="5" dataDxfId="679" totalsRowDxfId="678"/>
    <tableColumn id="7" xr3:uid="{CC2C1EBD-AFBD-4F95-95D0-D4DA2436B772}" name="6" dataDxfId="677" totalsRowDxfId="676"/>
    <tableColumn id="8" xr3:uid="{676062B5-BFD9-455E-AF01-97D5892B7AEC}" name="7" dataDxfId="675" totalsRowDxfId="674"/>
    <tableColumn id="9" xr3:uid="{28646A27-306E-4EB6-ADA3-28058E6EB111}" name="8" dataDxfId="673" totalsRowDxfId="672"/>
    <tableColumn id="10" xr3:uid="{4760A995-26B1-45B8-A33B-A19EF0A558A7}" name="9" dataDxfId="671" totalsRowDxfId="670"/>
    <tableColumn id="11" xr3:uid="{1375945A-7C24-448A-8374-5010533C170A}" name="10" dataDxfId="669" totalsRowDxfId="668"/>
    <tableColumn id="12" xr3:uid="{9AB07716-D438-4A54-8135-95C3D85970D5}" name="11" dataDxfId="667" totalsRowDxfId="666"/>
    <tableColumn id="13" xr3:uid="{C3480FA6-0CB4-4E36-8BE9-43A0B3CE40FF}" name="12" dataDxfId="665" totalsRowDxfId="664"/>
    <tableColumn id="14" xr3:uid="{A9FC37AB-3E45-449A-8F85-FF68D5032602}" name="13" dataDxfId="663" totalsRowDxfId="662"/>
    <tableColumn id="15" xr3:uid="{47267301-1798-4A0E-B5E7-11F3D3E2483D}" name="14" dataDxfId="661" totalsRowDxfId="660"/>
    <tableColumn id="16" xr3:uid="{87111D52-FCB1-4524-97B7-F2C5DE11198E}" name="15" dataDxfId="659" totalsRowDxfId="658"/>
    <tableColumn id="17" xr3:uid="{4984F10B-A3F8-44BC-84D2-63CB91684D50}" name="16" dataDxfId="657" totalsRowDxfId="656"/>
    <tableColumn id="18" xr3:uid="{36CB60BA-9B6D-4997-9BB8-BF8FE2E0ED93}" name="17" dataDxfId="655" totalsRowDxfId="654"/>
    <tableColumn id="19" xr3:uid="{3ADAAA61-4561-4087-B76E-63CDAD165C4A}" name="18" dataDxfId="653" totalsRowDxfId="652"/>
    <tableColumn id="20" xr3:uid="{99736337-5F5C-45FF-9132-6786CBC8CCE8}" name="19" dataDxfId="651" totalsRowDxfId="650"/>
    <tableColumn id="21" xr3:uid="{7A2E1FC9-EDEE-4AFA-8E1F-6D2645258CF4}" name="20" dataDxfId="649" totalsRowDxfId="648"/>
    <tableColumn id="22" xr3:uid="{B21FD666-4C51-4AB3-A86A-E58E3F9B32C1}" name="21" dataDxfId="647" totalsRowDxfId="646"/>
    <tableColumn id="23" xr3:uid="{12EAE0A2-877A-44FD-8806-7A00FED6E413}" name="22" dataDxfId="645" totalsRowDxfId="644"/>
    <tableColumn id="24" xr3:uid="{BFF67CEF-DDB1-4A85-8207-10DC0C71A5B7}" name="23" dataDxfId="643" totalsRowDxfId="642"/>
    <tableColumn id="25" xr3:uid="{650FD1CD-7FD8-41BE-9E51-9BF7ECC8089D}" name="24" dataDxfId="641" totalsRowDxfId="640"/>
    <tableColumn id="26" xr3:uid="{B8C5B2E8-E84C-411C-9CD6-896A44AA5CAA}" name="25" dataDxfId="639" totalsRowDxfId="638"/>
    <tableColumn id="27" xr3:uid="{BFBDE52F-294C-4448-8444-6422059C18EA}" name="26" dataDxfId="637" totalsRowDxfId="636"/>
    <tableColumn id="28" xr3:uid="{FD92E784-5A1C-4998-B6DC-AC0DA6EFBD63}" name="27" dataDxfId="635" totalsRowDxfId="634"/>
    <tableColumn id="29" xr3:uid="{D0588EA6-A5A4-4058-9A8B-01A546D62129}" name="28" dataDxfId="633" totalsRowDxfId="632"/>
    <tableColumn id="30" xr3:uid="{688062D7-9C14-4933-9325-919F7AB762E2}" name="29" dataDxfId="631" totalsRowDxfId="630"/>
    <tableColumn id="31" xr3:uid="{EB250AEB-731B-42FB-AAE6-F1C51F6B82A0}" name="30" dataDxfId="629" totalsRowDxfId="628"/>
    <tableColumn id="32" xr3:uid="{394FAEFA-B6AF-4854-B30D-AD695A991D11}" name="31" dataDxfId="627" totalsRowDxfId="626" dataCellStyle="Total"/>
    <tableColumn id="33" xr3:uid="{90BFC08A-921D-45B2-90DE-BD36749EEF83}" name="Nombre de location" dataDxfId="625" totalsRowDxfId="624" dataCellStyle="Total">
      <calculatedColumnFormula>COUNTA(Octobre17[[#This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C38E5C5D-57FD-44C7-82BC-97440759A01A}" name="Novembre24" displayName="Novembre24" ref="B8:AH16" totalsRowShown="0" headerRowDxfId="623" dataDxfId="622" totalsRowDxfId="621">
  <tableColumns count="33">
    <tableColumn id="1" xr3:uid="{B8056198-1072-4D66-99B6-9B39641992C2}" name="Materiel Comité" dataDxfId="620" totalsRowDxfId="619" dataCellStyle="Employé"/>
    <tableColumn id="2" xr3:uid="{6CCE0E9C-6550-45F2-9AE9-1E8E526DBE77}" name="1" dataDxfId="618" totalsRowDxfId="617"/>
    <tableColumn id="3" xr3:uid="{D29E9DCC-37BB-487D-BA85-84496A6923B3}" name="2" dataDxfId="616" totalsRowDxfId="615"/>
    <tableColumn id="4" xr3:uid="{13CCB38D-E1AF-4CD0-AABF-4D68A212BF03}" name="3" dataDxfId="614" totalsRowDxfId="613"/>
    <tableColumn id="5" xr3:uid="{6F8ED130-6B1F-45AC-9EEF-20481D748BF0}" name="4" dataDxfId="612" totalsRowDxfId="611"/>
    <tableColumn id="6" xr3:uid="{B4FCAC42-36FA-462D-9E9D-160BCAA4A4C9}" name="5" dataDxfId="610" totalsRowDxfId="609"/>
    <tableColumn id="7" xr3:uid="{ACD98074-65CB-43A0-972F-E2B52B9B10B2}" name="6" dataDxfId="608" totalsRowDxfId="607"/>
    <tableColumn id="8" xr3:uid="{05156928-3F44-47FB-B0FA-2E9A7FDB5884}" name="7" dataDxfId="606" totalsRowDxfId="605"/>
    <tableColumn id="9" xr3:uid="{E42618F7-80C6-4612-9C2C-5FB1306E942E}" name="8" dataDxfId="604" totalsRowDxfId="603"/>
    <tableColumn id="10" xr3:uid="{901EF963-A2A9-47A6-9EE5-57CDCC6E0511}" name="9" dataDxfId="602" totalsRowDxfId="601"/>
    <tableColumn id="11" xr3:uid="{450FA63B-BC15-4183-AC5D-7C0757CCAE5D}" name="10" dataDxfId="600" totalsRowDxfId="599"/>
    <tableColumn id="12" xr3:uid="{8BF38213-98F4-47A8-A43A-40559F2004B0}" name="11" dataDxfId="598" totalsRowDxfId="597"/>
    <tableColumn id="13" xr3:uid="{B9BEDE08-DE6C-438D-9FE2-0453B1F97002}" name="12" dataDxfId="596" totalsRowDxfId="595"/>
    <tableColumn id="14" xr3:uid="{22ADB9EA-FCB4-4B37-9BBC-8CD3B5BD2AAB}" name="13" dataDxfId="594" totalsRowDxfId="593"/>
    <tableColumn id="15" xr3:uid="{AE260A24-FE81-460B-BC59-251DC3FA9C36}" name="14" dataDxfId="592" totalsRowDxfId="591"/>
    <tableColumn id="16" xr3:uid="{83AE52AF-527F-49CD-966B-A6CE9A33FA80}" name="15" dataDxfId="590" totalsRowDxfId="589"/>
    <tableColumn id="17" xr3:uid="{65C293DB-C60E-469A-9EF0-D85737ED1C89}" name="16" dataDxfId="588" totalsRowDxfId="587"/>
    <tableColumn id="18" xr3:uid="{431B22FE-E6C5-459F-9FC8-50C6D3E2A164}" name="17" dataDxfId="586" totalsRowDxfId="585"/>
    <tableColumn id="19" xr3:uid="{9C8F6C9D-CF56-42E9-892B-207AFF0489F5}" name="18" dataDxfId="584" totalsRowDxfId="583"/>
    <tableColumn id="20" xr3:uid="{02A8B610-7369-4307-8E07-9EEBDAEF4DE0}" name="19" dataDxfId="582" totalsRowDxfId="581"/>
    <tableColumn id="21" xr3:uid="{68C3BFD9-A513-43FB-85A7-28B1AE0A0867}" name="20" dataDxfId="580" totalsRowDxfId="579"/>
    <tableColumn id="22" xr3:uid="{A6DD5CBB-32AB-4712-A34E-5B6D7C8D53A3}" name="21" dataDxfId="578" totalsRowDxfId="577"/>
    <tableColumn id="23" xr3:uid="{D017FFCA-2983-4567-9453-088A7F5239C8}" name="22" dataDxfId="576" totalsRowDxfId="575"/>
    <tableColumn id="24" xr3:uid="{CF72F38F-ED67-4B01-BEE9-590FC6210306}" name="23" dataDxfId="574" totalsRowDxfId="573"/>
    <tableColumn id="25" xr3:uid="{6297C358-9AC2-4BC3-9533-38153E7CC57E}" name="24" dataDxfId="572" totalsRowDxfId="571"/>
    <tableColumn id="26" xr3:uid="{97D07911-B229-472A-AEB6-64A10D9F5D63}" name="25" dataDxfId="570" totalsRowDxfId="569"/>
    <tableColumn id="27" xr3:uid="{CAFCF09D-8448-48DA-97E1-A3708AB32DFF}" name="26" dataDxfId="568" totalsRowDxfId="567"/>
    <tableColumn id="28" xr3:uid="{CDCA5D20-CD08-4900-92C3-225647D0781C}" name="27" dataDxfId="566" totalsRowDxfId="565"/>
    <tableColumn id="29" xr3:uid="{D8012C0A-175A-482E-8C7D-8549FC05AE7C}" name="28" dataDxfId="564" totalsRowDxfId="563"/>
    <tableColumn id="30" xr3:uid="{78CFC39D-ECE0-4071-80ED-2EC31454D2B1}" name="29" dataDxfId="562" totalsRowDxfId="561"/>
    <tableColumn id="31" xr3:uid="{FA2825B3-F0B3-4AA3-A3CB-15A73C180FC5}" name="30" dataDxfId="560" totalsRowDxfId="559"/>
    <tableColumn id="32" xr3:uid="{E6DBE306-BC75-4540-9438-B584DAC217D4}" name=" " dataDxfId="558" totalsRowDxfId="557" dataCellStyle="Total"/>
    <tableColumn id="33" xr3:uid="{BD22B07C-3CD8-4EE2-BEFE-89BE2EF197E2}" name="Nombre de location" dataDxfId="556" totalsRowDxfId="555" dataCellStyle="Total">
      <calculatedColumnFormula>COUNTA(Novembre24[[#This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9961DD28-0192-47EB-A90E-27C499BC3168}" name="Décembre25" displayName="Décembre25" ref="B8:AH16" totalsRowShown="0" headerRowDxfId="554" dataDxfId="553" totalsRowDxfId="552">
  <tableColumns count="33">
    <tableColumn id="1" xr3:uid="{575C2358-047A-4792-BFAF-A4850362D369}" name="Materiel Comité" dataDxfId="551" totalsRowDxfId="550" dataCellStyle="Employé"/>
    <tableColumn id="2" xr3:uid="{253AE259-BAAB-4D6D-AF31-00AC82F14A03}" name="1" dataDxfId="549" totalsRowDxfId="548"/>
    <tableColumn id="3" xr3:uid="{8463F6A5-483F-487D-977B-92770AA327CD}" name="2" dataDxfId="547" totalsRowDxfId="546"/>
    <tableColumn id="4" xr3:uid="{B942288B-DD57-4934-8B20-36D30BFDB88C}" name="3" dataDxfId="545" totalsRowDxfId="544"/>
    <tableColumn id="5" xr3:uid="{9DE6B1A6-C1DB-42B8-861B-E9CD2EFE3A53}" name="4" dataDxfId="543" totalsRowDxfId="542"/>
    <tableColumn id="6" xr3:uid="{22854CDC-D3D3-445A-85EE-671D8FBC4743}" name="5" dataDxfId="541" totalsRowDxfId="540"/>
    <tableColumn id="7" xr3:uid="{5D388ADD-767E-4C5F-82EC-DB12BD473926}" name="6" dataDxfId="539" totalsRowDxfId="538"/>
    <tableColumn id="8" xr3:uid="{A549500A-E2E2-4E04-876C-E64A1E2084F1}" name="7" dataDxfId="537" totalsRowDxfId="536"/>
    <tableColumn id="9" xr3:uid="{EB846F7D-29A8-4CFC-9977-E0FF639C13AA}" name="8" dataDxfId="535" totalsRowDxfId="534"/>
    <tableColumn id="10" xr3:uid="{53F170BE-C935-437B-A4B7-5F3CCC889E8A}" name="9" dataDxfId="533" totalsRowDxfId="532"/>
    <tableColumn id="11" xr3:uid="{8A5279BA-B67A-4B0A-B916-CB77E0DEE0C7}" name="10" dataDxfId="531" totalsRowDxfId="530"/>
    <tableColumn id="12" xr3:uid="{314C8174-A751-4279-9BAA-84E5E13C9568}" name="11" dataDxfId="529" totalsRowDxfId="528"/>
    <tableColumn id="13" xr3:uid="{4E36E2F1-EFCF-402F-BF36-BD7666299DB9}" name="12" dataDxfId="527" totalsRowDxfId="526"/>
    <tableColumn id="14" xr3:uid="{35227FC2-B718-41E0-A5D3-5509AF305B76}" name="13" dataDxfId="525" totalsRowDxfId="524"/>
    <tableColumn id="15" xr3:uid="{B49FB92B-4EE4-459F-B457-D95E39F27121}" name="14" dataDxfId="523" totalsRowDxfId="522"/>
    <tableColumn id="16" xr3:uid="{99A9E1A2-5A9F-47D8-9902-3EB2D0B14D31}" name="15" dataDxfId="521" totalsRowDxfId="520"/>
    <tableColumn id="17" xr3:uid="{8870DC0E-3913-473C-83B9-0360516B56EA}" name="16" dataDxfId="519" totalsRowDxfId="518"/>
    <tableColumn id="18" xr3:uid="{17E8F1F2-BC2B-4D82-BA6E-0A336E6C973B}" name="17" dataDxfId="517" totalsRowDxfId="516"/>
    <tableColumn id="19" xr3:uid="{A43BD5D7-472F-4EA0-9781-4009DE83E52D}" name="18" dataDxfId="515" totalsRowDxfId="514"/>
    <tableColumn id="20" xr3:uid="{B2F31907-37E7-48C6-95A3-101FE62042B2}" name="19" dataDxfId="513" totalsRowDxfId="512"/>
    <tableColumn id="21" xr3:uid="{7218CD62-4040-481D-919F-F7D0FBEEA584}" name="20" dataDxfId="511" totalsRowDxfId="510"/>
    <tableColumn id="22" xr3:uid="{7E0A478D-3A43-4D52-AB91-24458F4D0A9C}" name="21" dataDxfId="509" totalsRowDxfId="508"/>
    <tableColumn id="23" xr3:uid="{4120B91A-DE0D-4209-B537-0A4E30D6F278}" name="22" dataDxfId="507" totalsRowDxfId="506"/>
    <tableColumn id="24" xr3:uid="{2862404A-718F-4C00-ACE9-FD785B313E0A}" name="23" dataDxfId="505" totalsRowDxfId="504"/>
    <tableColumn id="25" xr3:uid="{6FDDF39A-0D8C-4843-B5DC-97626B5B1948}" name="24" dataDxfId="503" totalsRowDxfId="502"/>
    <tableColumn id="26" xr3:uid="{569AAC06-E3CA-4DF1-8817-88870F59384F}" name="25" dataDxfId="501" totalsRowDxfId="500"/>
    <tableColumn id="27" xr3:uid="{EDE4EEF1-30AB-41CE-9494-04FE2A72CFF7}" name="26" dataDxfId="499" totalsRowDxfId="498"/>
    <tableColumn id="28" xr3:uid="{FBB7BDAC-E722-4D50-B271-537E86276E55}" name="27" dataDxfId="497" totalsRowDxfId="496"/>
    <tableColumn id="29" xr3:uid="{7E5F11D3-CD1D-41F1-A4A8-348766F59084}" name="28" dataDxfId="495" totalsRowDxfId="494"/>
    <tableColumn id="30" xr3:uid="{43603165-4A17-4BCF-B583-CAD97658DE88}" name="29" dataDxfId="493" totalsRowDxfId="492"/>
    <tableColumn id="31" xr3:uid="{52B99159-4448-4068-9D38-7C748B755F09}" name="30" dataDxfId="491" totalsRowDxfId="490"/>
    <tableColumn id="32" xr3:uid="{B911596E-6E2F-46C5-8534-2D796F85F2B4}" name="31" dataDxfId="489" totalsRowDxfId="488" dataCellStyle="Total"/>
    <tableColumn id="33" xr3:uid="{223EDE0F-C093-4477-9A9F-56A88E958ACB}" name="Nombre de location" dataDxfId="487" totalsRowDxfId="486" dataCellStyle="Total">
      <calculatedColumnFormula>COUNTA(Décembre25[[#This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Fournit une liste de noms et des dates de calendrier pour enregistrer les absences et motifs d’absence des employés (C= Congé, M=Maladie, P=Personnel, et deux espaces réservés pour des entrées personnalisées)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1F1FB461-75AC-4A93-9082-3A4EEC2949A9}" name="Décembre2526" displayName="Décembre2526" ref="B8:AH16" totalsRowShown="0" headerRowDxfId="485" dataDxfId="484" totalsRowDxfId="483">
  <tableColumns count="33">
    <tableColumn id="1" xr3:uid="{7FA274F4-BA5D-4D1C-BE96-35B317AE02B0}" name="Materiel Comité" dataDxfId="481" totalsRowDxfId="482" dataCellStyle="Employé"/>
    <tableColumn id="2" xr3:uid="{1FE3AA83-5F60-48D8-A638-58AE8FFF4B87}" name="1" dataDxfId="479" totalsRowDxfId="480"/>
    <tableColumn id="3" xr3:uid="{713D3F78-B49E-4004-90F7-506F75CEEA3E}" name="2" dataDxfId="477" totalsRowDxfId="478"/>
    <tableColumn id="4" xr3:uid="{C4962767-5B96-40E9-87EB-7819D32D552C}" name="3" dataDxfId="475" totalsRowDxfId="476"/>
    <tableColumn id="5" xr3:uid="{1303994E-B6DD-4223-8B61-6E07D4F1D0D7}" name="4" dataDxfId="473" totalsRowDxfId="474"/>
    <tableColumn id="6" xr3:uid="{FDC1843F-E10E-4F02-8666-2B9F77F82091}" name="5" dataDxfId="471" totalsRowDxfId="472"/>
    <tableColumn id="7" xr3:uid="{013AE8EC-525E-4980-99BB-C9FC0E076AB6}" name="6" dataDxfId="469" totalsRowDxfId="470"/>
    <tableColumn id="8" xr3:uid="{B297727B-7899-413D-BB6D-DB17790B9ABA}" name="7" dataDxfId="467" totalsRowDxfId="468"/>
    <tableColumn id="9" xr3:uid="{FB46E8E4-9383-4322-99B6-B0D1CBEFCF57}" name="8" dataDxfId="465" totalsRowDxfId="466"/>
    <tableColumn id="10" xr3:uid="{F73D7A4C-35AA-405D-9D1F-0A739ACABD81}" name="9" dataDxfId="463" totalsRowDxfId="464"/>
    <tableColumn id="11" xr3:uid="{6F7AEC84-E78E-450D-97E7-4AA71F8C633C}" name="10" dataDxfId="461" totalsRowDxfId="462"/>
    <tableColumn id="12" xr3:uid="{58B4BA53-7919-42CF-8424-17ED68DD71B6}" name="11" dataDxfId="459" totalsRowDxfId="460"/>
    <tableColumn id="13" xr3:uid="{3AFC932E-5FFC-4560-8B91-49ED142D819A}" name="12" dataDxfId="457" totalsRowDxfId="458"/>
    <tableColumn id="14" xr3:uid="{5ADAB8AC-20CA-4B72-8517-C0810E98D5E9}" name="13" dataDxfId="455" totalsRowDxfId="456"/>
    <tableColumn id="15" xr3:uid="{F58A8141-15FC-439F-B531-DE15FCF8DC1F}" name="14" dataDxfId="453" totalsRowDxfId="454"/>
    <tableColumn id="16" xr3:uid="{B81FD746-10DF-494C-BA8C-B129AE014E51}" name="15" dataDxfId="451" totalsRowDxfId="452"/>
    <tableColumn id="17" xr3:uid="{55E1A127-E9EC-4A16-A7E3-1627BC453407}" name="16" dataDxfId="449" totalsRowDxfId="450"/>
    <tableColumn id="18" xr3:uid="{0F8F2575-01F7-4E99-8AD7-14643D13232A}" name="17" dataDxfId="447" totalsRowDxfId="448"/>
    <tableColumn id="19" xr3:uid="{C2A07BD4-5103-4F6D-92E4-655720C84E7F}" name="18" dataDxfId="445" totalsRowDxfId="446"/>
    <tableColumn id="20" xr3:uid="{6398B701-0B8F-4939-975D-EE86C164B406}" name="19" dataDxfId="443" totalsRowDxfId="444"/>
    <tableColumn id="21" xr3:uid="{3B53D054-6340-460F-9123-32E902D2D296}" name="20" dataDxfId="441" totalsRowDxfId="442"/>
    <tableColumn id="22" xr3:uid="{7E2357DD-CB9C-4260-BEB8-3B5DD83518C7}" name="21" dataDxfId="439" totalsRowDxfId="440"/>
    <tableColumn id="23" xr3:uid="{02283B7E-773D-4E2B-80F2-2A776E289651}" name="22" dataDxfId="437" totalsRowDxfId="438"/>
    <tableColumn id="24" xr3:uid="{313A6238-D960-4E6F-A4CB-0757DF5E4533}" name="23" dataDxfId="435" totalsRowDxfId="436"/>
    <tableColumn id="25" xr3:uid="{4BFF08B4-533E-463E-9F59-EF59045F6BB5}" name="24" dataDxfId="433" totalsRowDxfId="434"/>
    <tableColumn id="26" xr3:uid="{232B8BFD-E629-49BF-983B-F6324F82A7F1}" name="25" dataDxfId="431" totalsRowDxfId="432"/>
    <tableColumn id="27" xr3:uid="{DF73947B-D91B-4955-93A9-14F703FFDB6D}" name="26" dataDxfId="429" totalsRowDxfId="430"/>
    <tableColumn id="28" xr3:uid="{B7DA0050-04CB-4F41-AFF6-4BB60DCC20FF}" name="27" dataDxfId="427" totalsRowDxfId="428"/>
    <tableColumn id="29" xr3:uid="{F7866C44-2D0A-442C-94CF-53E97B52A919}" name="28" dataDxfId="425" totalsRowDxfId="426"/>
    <tableColumn id="30" xr3:uid="{44190150-6DD3-4930-9124-0F59602FADC0}" name="29" dataDxfId="423" totalsRowDxfId="424"/>
    <tableColumn id="31" xr3:uid="{B7A17040-6242-48DE-B066-F1C517F563D3}" name="30" dataDxfId="421" totalsRowDxfId="422"/>
    <tableColumn id="32" xr3:uid="{92ED97AC-3ABC-4776-B914-6710C4BA4BA5}" name="31" dataDxfId="419" totalsRowDxfId="420" dataCellStyle="Total"/>
    <tableColumn id="33" xr3:uid="{FD5EA235-F0F0-43BB-9748-1FE4D82A9A47}" name="Nombre de location" dataDxfId="417" totalsRowDxfId="418" dataCellStyle="Total">
      <calculatedColumnFormula>COUNTA(Décembre2526[[#This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Fournit une liste de noms et des dates de calendrier pour enregistrer les absences et motifs d’absence des employés (C= Congé, M=Maladie, P=Personnel, et deux espaces réservés pour des entrées personnalisées)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62CE9445-EA4E-4ADC-9B5C-0DBB80F4DFB8}" name="Décembre252627" displayName="Décembre252627" ref="B8:AE16" totalsRowShown="0" headerRowDxfId="416" dataDxfId="415" totalsRowDxfId="414">
  <tableColumns count="30">
    <tableColumn id="1" xr3:uid="{82B0F1A1-FDD4-4A7B-8E46-0787B60675AD}" name="Materiel Comité" dataDxfId="412" totalsRowDxfId="413" dataCellStyle="Employé"/>
    <tableColumn id="2" xr3:uid="{D0F039D8-B461-4040-B357-27749A2AB133}" name="1" dataDxfId="410" totalsRowDxfId="411"/>
    <tableColumn id="3" xr3:uid="{0C1CBAF7-497E-47FC-A59A-F2CB17644C2A}" name="2" dataDxfId="408" totalsRowDxfId="409"/>
    <tableColumn id="4" xr3:uid="{FE2471D2-A132-46FF-B48E-1D622E54F23B}" name="3" dataDxfId="406" totalsRowDxfId="407"/>
    <tableColumn id="5" xr3:uid="{23D891C8-3BFA-4928-9CC3-AA9AD75A481E}" name="4" dataDxfId="404" totalsRowDxfId="405"/>
    <tableColumn id="6" xr3:uid="{5EE131FD-6E47-4DD7-91BA-AF120D5163B3}" name="5" dataDxfId="402" totalsRowDxfId="403"/>
    <tableColumn id="7" xr3:uid="{F0081E1A-56F0-4224-BADA-74045E501042}" name="6" dataDxfId="400" totalsRowDxfId="401"/>
    <tableColumn id="8" xr3:uid="{35230D2D-D12B-424B-A0BA-B54ECC74EF3C}" name="7" dataDxfId="398" totalsRowDxfId="399"/>
    <tableColumn id="9" xr3:uid="{D397E358-01DA-4039-93FA-85C23D374EC4}" name="8" dataDxfId="396" totalsRowDxfId="397"/>
    <tableColumn id="10" xr3:uid="{4D334456-3E27-4F7A-9664-313427E23E10}" name="9" dataDxfId="394" totalsRowDxfId="395"/>
    <tableColumn id="11" xr3:uid="{ED920E4A-C736-44A2-9F2D-AE6C6C774EF5}" name="10" dataDxfId="392" totalsRowDxfId="393"/>
    <tableColumn id="12" xr3:uid="{5C7AA26B-A6AF-40E5-B38C-A01EE3F381AF}" name="11" dataDxfId="390" totalsRowDxfId="391"/>
    <tableColumn id="13" xr3:uid="{CBA0D218-CE40-4D58-93CC-FD39C58F2A37}" name="12" dataDxfId="388" totalsRowDxfId="389"/>
    <tableColumn id="14" xr3:uid="{02E308ED-9FCA-44CF-8F21-30FB92ADD8DD}" name="13" dataDxfId="386" totalsRowDxfId="387"/>
    <tableColumn id="15" xr3:uid="{7E30A023-7D2B-40ED-9947-E14AC3EEC1AC}" name="14" dataDxfId="384" totalsRowDxfId="385"/>
    <tableColumn id="16" xr3:uid="{FE8152F8-AFFB-48F5-8CBB-A06815E6EB71}" name="15" dataDxfId="382" totalsRowDxfId="383"/>
    <tableColumn id="17" xr3:uid="{EF7D477A-30EB-405E-B445-58B849A13A23}" name="16" dataDxfId="380" totalsRowDxfId="381"/>
    <tableColumn id="18" xr3:uid="{DD74E331-F912-4426-92D8-6AE648E8D73D}" name="17" dataDxfId="378" totalsRowDxfId="379"/>
    <tableColumn id="19" xr3:uid="{C3ABA308-B84A-4D62-8B08-8596BA500564}" name="18" dataDxfId="376" totalsRowDxfId="377"/>
    <tableColumn id="20" xr3:uid="{3330505C-6B12-4032-9A35-D30DA9702EF3}" name="19" dataDxfId="374" totalsRowDxfId="375"/>
    <tableColumn id="21" xr3:uid="{0695842B-9915-45D8-8BE4-08BB8B814583}" name="20" dataDxfId="372" totalsRowDxfId="373"/>
    <tableColumn id="22" xr3:uid="{C08E57FB-9F87-49FE-A4B0-9E08BE5AA4E5}" name="21" dataDxfId="370" totalsRowDxfId="371"/>
    <tableColumn id="23" xr3:uid="{94DC74EF-B4E7-4F5D-9CB7-7D7ABDD8511B}" name="22" dataDxfId="368" totalsRowDxfId="369"/>
    <tableColumn id="24" xr3:uid="{DBC4ED5D-DACB-4D82-938E-A368B68420C4}" name="23" dataDxfId="366" totalsRowDxfId="367"/>
    <tableColumn id="25" xr3:uid="{3FFB47B4-C27D-4287-A73C-6D09049BC61B}" name="24" dataDxfId="364" totalsRowDxfId="365"/>
    <tableColumn id="26" xr3:uid="{00A74C82-0B76-44B5-8303-D960F2124DF3}" name="25" dataDxfId="362" totalsRowDxfId="363"/>
    <tableColumn id="27" xr3:uid="{E919EE07-4E8F-4DE5-8ADA-1064C513974B}" name="26" dataDxfId="360" totalsRowDxfId="361"/>
    <tableColumn id="28" xr3:uid="{0C25AA9B-71DE-4300-8721-FB0C693DAE4F}" name="27" dataDxfId="358" totalsRowDxfId="359"/>
    <tableColumn id="29" xr3:uid="{CEA621F5-954E-4F8C-A2CD-4CB911CE22B6}" name="28" dataDxfId="356" totalsRowDxfId="357"/>
    <tableColumn id="33" xr3:uid="{7DB5BB79-4EF6-41D2-BEEC-A8B4AF3E0D7F}" name="Nombre de location" dataDxfId="354" totalsRowDxfId="355" dataCellStyle="Total">
      <calculatedColumnFormula>COUNTA(Novembre24[[#This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Fournit une liste de noms et des dates de calendrier pour enregistrer les absences et motifs d’absence des employés (C= Congé, M=Maladie, P=Personnel, et deux espaces réservés pour des entrées personnalisées)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C53FB4F2-E98F-438C-B6FA-C52B845C5E20}" name="Décembre252629" displayName="Décembre252629" ref="B8:AH16" totalsRowShown="0" headerRowDxfId="353" dataDxfId="352" totalsRowDxfId="351">
  <tableColumns count="33">
    <tableColumn id="1" xr3:uid="{0FB8F986-84B9-4718-AAB2-E1CF1643E42B}" name="Materiel Comité" dataDxfId="349" totalsRowDxfId="350" dataCellStyle="Employé"/>
    <tableColumn id="2" xr3:uid="{5B8BF4F4-1603-4CAD-99E0-20EC71F3E00C}" name="1" dataDxfId="347" totalsRowDxfId="348"/>
    <tableColumn id="3" xr3:uid="{CF35716B-8105-479F-9781-70DF50157CCA}" name="2" dataDxfId="345" totalsRowDxfId="346"/>
    <tableColumn id="4" xr3:uid="{A9F78E2E-53C7-4519-A9D1-7B0E8B944CFF}" name="3" dataDxfId="343" totalsRowDxfId="344"/>
    <tableColumn id="5" xr3:uid="{4FDD64CC-1083-4D33-97B6-F012A609BC97}" name="4" dataDxfId="341" totalsRowDxfId="342"/>
    <tableColumn id="6" xr3:uid="{911029C4-9AF7-4ADD-ACEE-A67FF6686098}" name="5" dataDxfId="339" totalsRowDxfId="340"/>
    <tableColumn id="7" xr3:uid="{2C512F5C-1DAF-4E55-B103-A4B046C98339}" name="6" dataDxfId="337" totalsRowDxfId="338"/>
    <tableColumn id="8" xr3:uid="{B751D581-55AF-48DA-B109-0189DCE99459}" name="7" dataDxfId="335" totalsRowDxfId="336"/>
    <tableColumn id="9" xr3:uid="{12C00BC2-8D55-49ED-AE10-4A036601197C}" name="8" dataDxfId="333" totalsRowDxfId="334"/>
    <tableColumn id="10" xr3:uid="{4C2CE174-65A2-40C2-8BF1-00F9F234F1AF}" name="9" dataDxfId="331" totalsRowDxfId="332"/>
    <tableColumn id="11" xr3:uid="{9C0D7E9A-14A2-4B8D-B578-B25FC4B356ED}" name="10" dataDxfId="329" totalsRowDxfId="330"/>
    <tableColumn id="12" xr3:uid="{D812CA04-93C5-4CD5-B461-09F7CDB7BD8B}" name="11" dataDxfId="327" totalsRowDxfId="328"/>
    <tableColumn id="13" xr3:uid="{67E7A97C-74ED-448A-A81B-D4D399F6BE3D}" name="12" dataDxfId="325" totalsRowDxfId="326"/>
    <tableColumn id="14" xr3:uid="{81808DA1-5C36-4714-A892-D9F63D311DD0}" name="13" dataDxfId="323" totalsRowDxfId="324"/>
    <tableColumn id="15" xr3:uid="{5697C473-F01F-40BF-B303-FD9D3E9B50BD}" name="14" dataDxfId="321" totalsRowDxfId="322"/>
    <tableColumn id="16" xr3:uid="{B6D0C1AA-2048-44C8-BB10-EC35DF8561BE}" name="15" dataDxfId="319" totalsRowDxfId="320"/>
    <tableColumn id="17" xr3:uid="{39DB8C4F-1F66-4A4F-B14B-64F47087C2CE}" name="16" dataDxfId="317" totalsRowDxfId="318"/>
    <tableColumn id="18" xr3:uid="{AEFDF5E3-5951-4212-95D1-6CE411DE25BE}" name="17" dataDxfId="315" totalsRowDxfId="316"/>
    <tableColumn id="19" xr3:uid="{5CB27168-AD72-4D3C-93EF-96B3A99BB91A}" name="18" dataDxfId="313" totalsRowDxfId="314"/>
    <tableColumn id="20" xr3:uid="{49ACB6A1-6BD5-45DB-8232-19FEE78DA676}" name="19" dataDxfId="311" totalsRowDxfId="312"/>
    <tableColumn id="21" xr3:uid="{82B769BA-FFCA-4934-BF3F-F9C7BE81CF29}" name="20" dataDxfId="309" totalsRowDxfId="310"/>
    <tableColumn id="22" xr3:uid="{51D3D357-FCA5-4C43-AC4E-B3638FEECF4F}" name="21" dataDxfId="307" totalsRowDxfId="308"/>
    <tableColumn id="23" xr3:uid="{F2FB11A3-4665-45C1-99E5-40BF4591DCDB}" name="22" dataDxfId="305" totalsRowDxfId="306"/>
    <tableColumn id="24" xr3:uid="{D751BCB5-914E-470A-B46C-13E0440C4BEF}" name="23" dataDxfId="303" totalsRowDxfId="304"/>
    <tableColumn id="25" xr3:uid="{6004F65A-285F-4C35-AE16-BDB1F658F510}" name="24" dataDxfId="301" totalsRowDxfId="302"/>
    <tableColumn id="26" xr3:uid="{6C9EC303-8E73-4E82-A3EA-247A79314BD3}" name="25" dataDxfId="299" totalsRowDxfId="300"/>
    <tableColumn id="27" xr3:uid="{37B3BC0B-CD3F-40C3-9AAC-6322F824FAF7}" name="26" dataDxfId="297" totalsRowDxfId="298"/>
    <tableColumn id="28" xr3:uid="{65B101BD-10A8-4254-8361-512073C26AD4}" name="27" dataDxfId="295" totalsRowDxfId="296"/>
    <tableColumn id="29" xr3:uid="{EADB0503-3F7C-4C67-8710-02D8223444AD}" name="28" dataDxfId="293" totalsRowDxfId="294"/>
    <tableColumn id="30" xr3:uid="{382431BE-DD91-454E-A12E-0DFB09E0BE1F}" name="29" dataDxfId="291" totalsRowDxfId="292"/>
    <tableColumn id="31" xr3:uid="{8F7BE737-7E9C-448C-A851-6EA9BAC3D272}" name="30" dataDxfId="289" totalsRowDxfId="290"/>
    <tableColumn id="32" xr3:uid="{E513F7C1-6B6D-4653-B342-884F919A6FD3}" name="31" dataDxfId="287" totalsRowDxfId="288" dataCellStyle="Total"/>
    <tableColumn id="33" xr3:uid="{10CCD467-9922-4523-8E1C-F6D49642589E}" name="Nombre de location" dataDxfId="285" totalsRowDxfId="286" dataCellStyle="Total">
      <calculatedColumnFormula>COUNTA(Décembre252629[[#This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Fournit une liste de noms et des dates de calendrier pour enregistrer les absences et motifs d’absence des employés (C= Congé, M=Maladie, P=Personnel, et deux espaces réservés pour des entrées personnalisées)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54D8B290-28F4-4BD7-A8BF-30569EE550C3}" name="Décembre25262930" displayName="Décembre25262930" ref="B8:AG16" totalsRowShown="0" headerRowDxfId="284" dataDxfId="283" totalsRowDxfId="282">
  <tableColumns count="32">
    <tableColumn id="1" xr3:uid="{B4E918E6-2F8B-4C19-8A71-DF25BB338981}" name="Materiel Comité" dataDxfId="280" totalsRowDxfId="281" dataCellStyle="Employé"/>
    <tableColumn id="2" xr3:uid="{F78C6B85-B7F3-4D30-8712-C58D9275AEF2}" name="1" dataDxfId="278" totalsRowDxfId="279"/>
    <tableColumn id="3" xr3:uid="{2ABA09E3-B82E-45F6-97A7-F41A2BD490AC}" name="2" dataDxfId="276" totalsRowDxfId="277"/>
    <tableColumn id="4" xr3:uid="{62BDB6F4-0E71-4139-9785-8AD14263ED4D}" name="3" dataDxfId="274" totalsRowDxfId="275"/>
    <tableColumn id="5" xr3:uid="{3BE88251-0A78-4EC6-AE9C-98B1DF135E43}" name="4" dataDxfId="272" totalsRowDxfId="273"/>
    <tableColumn id="6" xr3:uid="{60AE6148-6951-4F31-B426-4F26A24C75E2}" name="5" dataDxfId="270" totalsRowDxfId="271"/>
    <tableColumn id="7" xr3:uid="{A85B50F3-0329-4B01-9B08-198DE7976660}" name="6" dataDxfId="268" totalsRowDxfId="269"/>
    <tableColumn id="8" xr3:uid="{F8E560B0-28FF-48F4-AD9A-1576796BB2EF}" name="7" dataDxfId="266" totalsRowDxfId="267"/>
    <tableColumn id="9" xr3:uid="{7779B151-3C4B-45C9-ADCD-FA07C770CADE}" name="8" dataDxfId="264" totalsRowDxfId="265"/>
    <tableColumn id="10" xr3:uid="{E0AA3F64-2BB4-4CF1-9CA9-84FF124A29F2}" name="9" dataDxfId="262" totalsRowDxfId="263"/>
    <tableColumn id="11" xr3:uid="{A2E91329-D49F-4A8C-A672-AD319C204145}" name="10" dataDxfId="260" totalsRowDxfId="261"/>
    <tableColumn id="12" xr3:uid="{C040CD13-17D1-465C-8A94-6AD835C5E3B1}" name="11" dataDxfId="258" totalsRowDxfId="259"/>
    <tableColumn id="13" xr3:uid="{6720DE67-A30A-4FB0-819E-DF66F44EE2ED}" name="12" dataDxfId="256" totalsRowDxfId="257"/>
    <tableColumn id="14" xr3:uid="{16038B22-2AA4-405F-8883-04F5E305566A}" name="13" dataDxfId="254" totalsRowDxfId="255"/>
    <tableColumn id="15" xr3:uid="{13ABF92E-963A-4E66-9168-49F997FDBB62}" name="14" dataDxfId="252" totalsRowDxfId="253"/>
    <tableColumn id="16" xr3:uid="{07CE70D1-9E7E-4BCA-AF25-A5CD1E3854FF}" name="15" dataDxfId="250" totalsRowDxfId="251"/>
    <tableColumn id="17" xr3:uid="{E317EB4A-CFED-4129-9C28-AF4F19DED1FC}" name="16" dataDxfId="248" totalsRowDxfId="249"/>
    <tableColumn id="18" xr3:uid="{7200DD0C-7929-45C8-B76A-BFD1E381BE83}" name="17" dataDxfId="246" totalsRowDxfId="247"/>
    <tableColumn id="19" xr3:uid="{58EEFF92-654B-4F2C-BB77-8B01C6F47B99}" name="18" dataDxfId="244" totalsRowDxfId="245"/>
    <tableColumn id="20" xr3:uid="{458A1252-9DBD-4A40-8F9B-7AF37A52C459}" name="19" dataDxfId="242" totalsRowDxfId="243"/>
    <tableColumn id="21" xr3:uid="{51FDA105-CAD5-4008-9AAD-45EE5E3FBA51}" name="20" dataDxfId="240" totalsRowDxfId="241"/>
    <tableColumn id="22" xr3:uid="{3B012E05-D596-4967-8DBB-54766402C3D3}" name="21" dataDxfId="238" totalsRowDxfId="239"/>
    <tableColumn id="23" xr3:uid="{803965A9-ABD3-4466-8B48-09BD366642FE}" name="22" dataDxfId="236" totalsRowDxfId="237"/>
    <tableColumn id="24" xr3:uid="{EFD17A2B-1F31-4314-BDC5-09C24CC94BD8}" name="23" dataDxfId="234" totalsRowDxfId="235"/>
    <tableColumn id="25" xr3:uid="{952F0880-56D3-4C09-BCFE-0ECB52CB31DE}" name="24" dataDxfId="232" totalsRowDxfId="233"/>
    <tableColumn id="26" xr3:uid="{93A03CD5-5145-4B29-AF55-D5C08FD443C8}" name="25" dataDxfId="230" totalsRowDxfId="231"/>
    <tableColumn id="27" xr3:uid="{798AE2C7-3D58-4CD5-A6C0-19FCE3C72F1C}" name="26" dataDxfId="228" totalsRowDxfId="229"/>
    <tableColumn id="28" xr3:uid="{F8FC522D-E509-46C7-91E2-BE49576CEF0C}" name="27" dataDxfId="226" totalsRowDxfId="227"/>
    <tableColumn id="29" xr3:uid="{0D7DC0F0-9EB1-448F-93BE-9960D018A911}" name="28" dataDxfId="224" totalsRowDxfId="225"/>
    <tableColumn id="30" xr3:uid="{1BF3A799-02B2-4C74-8024-A8FAE1F2C4B6}" name="29" dataDxfId="222" totalsRowDxfId="223"/>
    <tableColumn id="31" xr3:uid="{6AA1DA57-602E-43AA-8FD6-A8576E0932E2}" name="30" dataDxfId="220" totalsRowDxfId="221"/>
    <tableColumn id="33" xr3:uid="{A12374CB-0110-4C7A-812F-94B60693EB00}" name="Nombre de location" dataDxfId="218" totalsRowDxfId="219" dataCellStyle="Total">
      <calculatedColumnFormula>COUNTA(#REF!)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Fournit une liste de noms et des dates de calendrier pour enregistrer les absences et motifs d’absence des employés (C= Congé, M=Maladie, P=Personnel, et deux espaces réservés pour des entrées personnalisées)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AA713D5C-8917-42E0-BE72-8FBFD7066235}" name="Décembre2526293031" displayName="Décembre2526293031" ref="B8:AH16" totalsRowShown="0" headerRowDxfId="217" dataDxfId="216" totalsRowDxfId="215">
  <tableColumns count="33">
    <tableColumn id="1" xr3:uid="{24FB215C-FA5F-45E9-B1CC-0229E32EA9C0}" name="Materiel Comité" dataDxfId="213" totalsRowDxfId="214" dataCellStyle="Employé"/>
    <tableColumn id="2" xr3:uid="{2DB8D42B-085A-4A1F-B84C-DC966DAE3860}" name="1" dataDxfId="211" totalsRowDxfId="212"/>
    <tableColumn id="3" xr3:uid="{33D0CA97-FCDD-43A0-A347-FE5189C27C12}" name="2" dataDxfId="209" totalsRowDxfId="210"/>
    <tableColumn id="4" xr3:uid="{7CFB6B42-EF6B-4B65-9958-B97A2424C834}" name="3" dataDxfId="207" totalsRowDxfId="208"/>
    <tableColumn id="5" xr3:uid="{BBC7BE84-FC4C-4786-B4C9-139B950C4B03}" name="4" dataDxfId="205" totalsRowDxfId="206"/>
    <tableColumn id="6" xr3:uid="{B0C4551C-088D-417C-8497-34E1F636479A}" name="5" dataDxfId="203" totalsRowDxfId="204"/>
    <tableColumn id="7" xr3:uid="{541078E8-27A6-4555-BD89-872A8D6EB906}" name="6" dataDxfId="201" totalsRowDxfId="202"/>
    <tableColumn id="8" xr3:uid="{55D9CE2F-A530-4048-9032-CCE0F3B4CD73}" name="7" dataDxfId="199" totalsRowDxfId="200"/>
    <tableColumn id="9" xr3:uid="{002BFC36-BC7D-46A9-8920-FE397554CA95}" name="8" dataDxfId="197" totalsRowDxfId="198"/>
    <tableColumn id="10" xr3:uid="{D4DC162F-4645-4D46-BC14-A99565FAF760}" name="9" dataDxfId="195" totalsRowDxfId="196"/>
    <tableColumn id="11" xr3:uid="{D49DB054-2705-45C3-8029-FAB906D6737B}" name="10" dataDxfId="193" totalsRowDxfId="194"/>
    <tableColumn id="12" xr3:uid="{DA45F331-740E-48AC-978A-0A824D80E046}" name="11" dataDxfId="191" totalsRowDxfId="192"/>
    <tableColumn id="13" xr3:uid="{CB9DA3A1-CA10-4CBC-827D-172567378725}" name="12" dataDxfId="189" totalsRowDxfId="190"/>
    <tableColumn id="14" xr3:uid="{0E83BA92-5F56-4421-9093-A89284FF6510}" name="13" dataDxfId="187" totalsRowDxfId="188"/>
    <tableColumn id="15" xr3:uid="{D0835927-9F1C-47AD-B359-EF925FADAAF7}" name="14" dataDxfId="185" totalsRowDxfId="186"/>
    <tableColumn id="16" xr3:uid="{20EE4900-ACB5-4B04-9817-CFB2A8D1BA6F}" name="15" dataDxfId="183" totalsRowDxfId="184"/>
    <tableColumn id="17" xr3:uid="{4963290B-1E0E-4821-A7C7-BDA8EEF9B492}" name="16" dataDxfId="181" totalsRowDxfId="182"/>
    <tableColumn id="18" xr3:uid="{05359E42-225D-4535-AEA1-C61418A337EA}" name="17" dataDxfId="179" totalsRowDxfId="180"/>
    <tableColumn id="19" xr3:uid="{4D7600DA-A74F-4FDE-A145-51308F02D92E}" name="18" dataDxfId="177" totalsRowDxfId="178"/>
    <tableColumn id="20" xr3:uid="{A992F89A-0EE6-4AAB-96E0-927B9675ADE9}" name="19" dataDxfId="175" totalsRowDxfId="176"/>
    <tableColumn id="21" xr3:uid="{9D137517-EA08-416A-AB22-95A174D30DE3}" name="20" dataDxfId="173" totalsRowDxfId="174"/>
    <tableColumn id="22" xr3:uid="{1E202BF7-CF5E-4605-8557-6B0061CADD97}" name="21" dataDxfId="171" totalsRowDxfId="172"/>
    <tableColumn id="23" xr3:uid="{CA664CC0-1190-4AC2-AF33-76A68D6508CA}" name="22" dataDxfId="169" totalsRowDxfId="170"/>
    <tableColumn id="24" xr3:uid="{0E4CBF9E-0A73-4FA7-869E-DAC6B6742D90}" name="23" dataDxfId="167" totalsRowDxfId="168"/>
    <tableColumn id="25" xr3:uid="{D0D2A7E5-13CD-45A2-A446-D92C0FC392CF}" name="24" dataDxfId="165" totalsRowDxfId="166"/>
    <tableColumn id="26" xr3:uid="{0357C02D-86EA-456E-8BDE-A12172EE79A8}" name="25" dataDxfId="163" totalsRowDxfId="164"/>
    <tableColumn id="27" xr3:uid="{DF6CF8DE-480F-4DCA-9E4A-47D0B05A68BC}" name="26" dataDxfId="161" totalsRowDxfId="162"/>
    <tableColumn id="28" xr3:uid="{882E3726-931C-45DC-8841-283955A76156}" name="27" dataDxfId="159" totalsRowDxfId="160"/>
    <tableColumn id="29" xr3:uid="{6A886FA9-7205-4537-8421-48FE61512865}" name="28" dataDxfId="157" totalsRowDxfId="158"/>
    <tableColumn id="30" xr3:uid="{B0526505-EC1F-457C-AF98-7A803B1E3D73}" name="29" dataDxfId="155" totalsRowDxfId="156"/>
    <tableColumn id="31" xr3:uid="{C89E17EE-9CA6-402D-AAE7-A0D7843E31AE}" name="30" dataDxfId="153" totalsRowDxfId="154"/>
    <tableColumn id="32" xr3:uid="{242FCC37-B7DE-44C4-9E08-7118003FB630}" name="31" dataDxfId="149" totalsRowDxfId="150"/>
    <tableColumn id="33" xr3:uid="{D26B420E-DBB0-47AE-BB72-4E46C3764036}" name="Nombre de location" dataDxfId="151" totalsRowDxfId="152" dataCellStyle="Total">
      <calculatedColumnFormula>COUNTA(#REF!)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Fournit une liste de noms et des dates de calendrier pour enregistrer les absences et motifs d’absence des employés (C= Congé, M=Maladie, P=Personnel, et deux espaces réservés pour des entrées personnalisées)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Mars" displayName="Mars" ref="B8:AH16" totalsRowShown="0" headerRowDxfId="1928" dataDxfId="1927" totalsRowDxfId="1926">
  <tableColumns count="33">
    <tableColumn id="1" xr3:uid="{00000000-0010-0000-0200-000001000000}" name="Materiel Comité" dataDxfId="1925" totalsRowDxfId="1924" dataCellStyle="Employé"/>
    <tableColumn id="2" xr3:uid="{00000000-0010-0000-0200-000002000000}" name="1" dataDxfId="1923" totalsRowDxfId="1922"/>
    <tableColumn id="3" xr3:uid="{00000000-0010-0000-0200-000003000000}" name="2" dataDxfId="1921" totalsRowDxfId="1920"/>
    <tableColumn id="4" xr3:uid="{00000000-0010-0000-0200-000004000000}" name="3" dataDxfId="1919" totalsRowDxfId="1918"/>
    <tableColumn id="5" xr3:uid="{00000000-0010-0000-0200-000005000000}" name="4" dataDxfId="1917" totalsRowDxfId="1916"/>
    <tableColumn id="6" xr3:uid="{00000000-0010-0000-0200-000006000000}" name="5" dataDxfId="1915" totalsRowDxfId="1914"/>
    <tableColumn id="7" xr3:uid="{00000000-0010-0000-0200-000007000000}" name="6" dataDxfId="1913" totalsRowDxfId="1912"/>
    <tableColumn id="8" xr3:uid="{00000000-0010-0000-0200-000008000000}" name="7" dataDxfId="1911" totalsRowDxfId="1910"/>
    <tableColumn id="9" xr3:uid="{00000000-0010-0000-0200-000009000000}" name="8" dataDxfId="1909" totalsRowDxfId="1908"/>
    <tableColumn id="10" xr3:uid="{00000000-0010-0000-0200-00000A000000}" name="9" dataDxfId="1907" totalsRowDxfId="1906"/>
    <tableColumn id="11" xr3:uid="{00000000-0010-0000-0200-00000B000000}" name="10" dataDxfId="1905" totalsRowDxfId="1904"/>
    <tableColumn id="12" xr3:uid="{00000000-0010-0000-0200-00000C000000}" name="11" dataDxfId="1903" totalsRowDxfId="1902"/>
    <tableColumn id="13" xr3:uid="{00000000-0010-0000-0200-00000D000000}" name="12" dataDxfId="1901" totalsRowDxfId="1900"/>
    <tableColumn id="14" xr3:uid="{00000000-0010-0000-0200-00000E000000}" name="13" dataDxfId="1899" totalsRowDxfId="1898"/>
    <tableColumn id="15" xr3:uid="{00000000-0010-0000-0200-00000F000000}" name="14" dataDxfId="1897" totalsRowDxfId="1896"/>
    <tableColumn id="16" xr3:uid="{00000000-0010-0000-0200-000010000000}" name="15" dataDxfId="1895" totalsRowDxfId="1894"/>
    <tableColumn id="17" xr3:uid="{00000000-0010-0000-0200-000011000000}" name="16" dataDxfId="1893" totalsRowDxfId="1892"/>
    <tableColumn id="18" xr3:uid="{00000000-0010-0000-0200-000012000000}" name="17" dataDxfId="1891" totalsRowDxfId="1890"/>
    <tableColumn id="19" xr3:uid="{00000000-0010-0000-0200-000013000000}" name="18" dataDxfId="1889" totalsRowDxfId="1888"/>
    <tableColumn id="20" xr3:uid="{00000000-0010-0000-0200-000014000000}" name="19" dataDxfId="1887" totalsRowDxfId="1886"/>
    <tableColumn id="21" xr3:uid="{00000000-0010-0000-0200-000015000000}" name="20" dataDxfId="1885" totalsRowDxfId="1884"/>
    <tableColumn id="22" xr3:uid="{00000000-0010-0000-0200-000016000000}" name="21" dataDxfId="1883" totalsRowDxfId="1882"/>
    <tableColumn id="23" xr3:uid="{00000000-0010-0000-0200-000017000000}" name="22" dataDxfId="1881" totalsRowDxfId="1880"/>
    <tableColumn id="24" xr3:uid="{00000000-0010-0000-0200-000018000000}" name="23" dataDxfId="1879" totalsRowDxfId="1878"/>
    <tableColumn id="25" xr3:uid="{00000000-0010-0000-0200-000019000000}" name="24" dataDxfId="1877" totalsRowDxfId="1876"/>
    <tableColumn id="26" xr3:uid="{00000000-0010-0000-0200-00001A000000}" name="25" dataDxfId="1875" totalsRowDxfId="1874"/>
    <tableColumn id="27" xr3:uid="{00000000-0010-0000-0200-00001B000000}" name="26" dataDxfId="1873" totalsRowDxfId="1872"/>
    <tableColumn id="28" xr3:uid="{00000000-0010-0000-0200-00001C000000}" name="27" dataDxfId="1871" totalsRowDxfId="1870"/>
    <tableColumn id="29" xr3:uid="{00000000-0010-0000-0200-00001D000000}" name="28" dataDxfId="1869" totalsRowDxfId="1868"/>
    <tableColumn id="30" xr3:uid="{00000000-0010-0000-0200-00001E000000}" name="29" dataDxfId="1867" totalsRowDxfId="1866"/>
    <tableColumn id="31" xr3:uid="{00000000-0010-0000-0200-00001F000000}" name="30" dataDxfId="1865" totalsRowDxfId="1864"/>
    <tableColumn id="32" xr3:uid="{00000000-0010-0000-0200-000020000000}" name="31" dataDxfId="1863" totalsRowDxfId="1862" dataCellStyle="Total"/>
    <tableColumn id="33" xr3:uid="{00000000-0010-0000-0200-000021000000}" name="Nombre de location" dataDxfId="1861" totalsRowDxfId="1860" dataCellStyle="Total">
      <calculatedColumnFormula>COUNTA(Mars[[#This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CF7758ED-48A3-485E-9589-874428D58DFC}" name="Décembre252629303132" displayName="Décembre252629303132" ref="B8:AG16" totalsRowShown="0" headerRowDxfId="148" dataDxfId="147" totalsRowDxfId="146">
  <tableColumns count="32">
    <tableColumn id="1" xr3:uid="{16A872F0-8BC3-499F-B005-9D8A5F2E5248}" name="Materiel Comité" dataDxfId="144" totalsRowDxfId="145" dataCellStyle="Employé"/>
    <tableColumn id="2" xr3:uid="{37CFFF7D-C3B6-41E5-A369-1A87536844D9}" name="1" dataDxfId="142" totalsRowDxfId="143"/>
    <tableColumn id="3" xr3:uid="{ACD6E244-DB85-4058-A170-D76D48ADBC96}" name="2" dataDxfId="140" totalsRowDxfId="141"/>
    <tableColumn id="4" xr3:uid="{760315C8-B4B2-4D1A-B7E1-2C06B635E827}" name="3" dataDxfId="138" totalsRowDxfId="139"/>
    <tableColumn id="5" xr3:uid="{3FEC1573-E2F2-42A7-84A4-03BEBD8E518A}" name="4" dataDxfId="136" totalsRowDxfId="137"/>
    <tableColumn id="6" xr3:uid="{65F6CE1A-126A-4E70-87B4-75D119D52FAC}" name="5" dataDxfId="134" totalsRowDxfId="135"/>
    <tableColumn id="7" xr3:uid="{1BCD0D7C-D227-481A-8596-A891F1F876B6}" name="6" dataDxfId="132" totalsRowDxfId="133"/>
    <tableColumn id="8" xr3:uid="{3EADE050-411F-415F-8A2E-8A792D08BB74}" name="7" dataDxfId="130" totalsRowDxfId="131"/>
    <tableColumn id="9" xr3:uid="{FC8313ED-19AC-4E23-98BD-B79B3B504C90}" name="8" dataDxfId="128" totalsRowDxfId="129"/>
    <tableColumn id="10" xr3:uid="{1F4B186E-4EB3-4F3E-8646-230C4917FB64}" name="9" dataDxfId="126" totalsRowDxfId="127"/>
    <tableColumn id="11" xr3:uid="{FD39A391-266C-4129-A265-A31AFA132BAE}" name="10" dataDxfId="124" totalsRowDxfId="125"/>
    <tableColumn id="12" xr3:uid="{59E52FB2-829B-4827-9A7B-36C3D749A501}" name="11" dataDxfId="122" totalsRowDxfId="123"/>
    <tableColumn id="13" xr3:uid="{2A0AAFA1-C63B-4F43-9B45-6EBCB8FFEF34}" name="12" dataDxfId="120" totalsRowDxfId="121"/>
    <tableColumn id="14" xr3:uid="{96E03DE9-EF71-4A86-AA98-DE65EF94D573}" name="13" dataDxfId="118" totalsRowDxfId="119"/>
    <tableColumn id="15" xr3:uid="{D990D7F0-708E-4794-A71F-3E06E0B294AE}" name="14" dataDxfId="116" totalsRowDxfId="117"/>
    <tableColumn id="16" xr3:uid="{98B7ECC1-44E5-46A3-979B-8AAE971F0D86}" name="15" dataDxfId="114" totalsRowDxfId="115"/>
    <tableColumn id="17" xr3:uid="{1FF128DE-CB62-4A4D-A005-6651439AD7CC}" name="16" dataDxfId="112" totalsRowDxfId="113"/>
    <tableColumn id="18" xr3:uid="{C2F01DE1-AC7E-43B2-AFAC-D9D3FD95BA37}" name="17" dataDxfId="110" totalsRowDxfId="111"/>
    <tableColumn id="19" xr3:uid="{97065C72-484E-4C5B-91D9-91110B3F0022}" name="18" dataDxfId="108" totalsRowDxfId="109"/>
    <tableColumn id="20" xr3:uid="{CBF65AFB-34A1-4BEC-AC07-49E9F7FC42A0}" name="19" dataDxfId="106" totalsRowDxfId="107"/>
    <tableColumn id="21" xr3:uid="{89747789-2E95-4492-AB4E-424D562DF0FC}" name="20" dataDxfId="104" totalsRowDxfId="105"/>
    <tableColumn id="22" xr3:uid="{4623B15C-963B-4CD8-8BDE-68C9D2005D25}" name="21" dataDxfId="102" totalsRowDxfId="103"/>
    <tableColumn id="23" xr3:uid="{F6704EEF-498C-4805-B2A4-363B3780E66C}" name="22" dataDxfId="100" totalsRowDxfId="101"/>
    <tableColumn id="24" xr3:uid="{8E883DB5-1837-4D82-918E-831C6CF1D7E9}" name="23" dataDxfId="98" totalsRowDxfId="99"/>
    <tableColumn id="25" xr3:uid="{4B84D7A4-EE66-4CA6-B9AB-76EAE8489842}" name="24" dataDxfId="96" totalsRowDxfId="97"/>
    <tableColumn id="26" xr3:uid="{BED83171-6946-4647-A9B5-77DA55B3CDD3}" name="25" dataDxfId="94" totalsRowDxfId="95"/>
    <tableColumn id="27" xr3:uid="{235EE128-9EC9-4781-9833-10926766A61D}" name="26" dataDxfId="92" totalsRowDxfId="93"/>
    <tableColumn id="28" xr3:uid="{4344872C-B5C4-4F34-B989-BB4835B4D115}" name="27" dataDxfId="90" totalsRowDxfId="91"/>
    <tableColumn id="29" xr3:uid="{C267780E-D111-49B0-A735-5221BBA215FF}" name="28" dataDxfId="88" totalsRowDxfId="89"/>
    <tableColumn id="30" xr3:uid="{59F9223F-5CE4-4AFC-BDC8-73DE813615A1}" name="29" dataDxfId="86" totalsRowDxfId="87"/>
    <tableColumn id="31" xr3:uid="{C8A05BA2-951E-4947-9C0A-4C4DD8887F46}" name="30" dataDxfId="84" totalsRowDxfId="85"/>
    <tableColumn id="33" xr3:uid="{602F5645-66BB-48A8-8DB8-B23B44345B61}" name="Nombre de location" dataDxfId="82" totalsRowDxfId="83" dataCellStyle="Total">
      <calculatedColumnFormula>COUNTA(#REF!)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Fournit une liste de noms et des dates de calendrier pour enregistrer les absences et motifs d’absence des employés (C= Congé, M=Maladie, P=Personnel, et deux espaces réservés pour des entrées personnalisées)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0214BC2-F1A9-794B-922E-B532EC6BBFDF}" name="March5" displayName="March5" ref="B8:AH16" totalsRowShown="0" headerRowDxfId="1859" dataDxfId="1858" totalsRowDxfId="1857">
  <tableColumns count="33">
    <tableColumn id="1" xr3:uid="{5251F992-E710-C643-B160-C37BB2131D31}" name="Materiel Comité" dataDxfId="1856" totalsRowDxfId="1855" dataCellStyle="Employé"/>
    <tableColumn id="2" xr3:uid="{9AEC3AA3-9F0E-4B4E-A8ED-026BAE9C428F}" name="1" dataDxfId="1854" totalsRowDxfId="1853"/>
    <tableColumn id="3" xr3:uid="{55750F7A-05DD-CB41-95C5-BE1F874725AE}" name="2" dataDxfId="1852" totalsRowDxfId="1851"/>
    <tableColumn id="4" xr3:uid="{259912E4-C37B-5145-B99B-93F989E18A49}" name="3" dataDxfId="1850" totalsRowDxfId="1849"/>
    <tableColumn id="5" xr3:uid="{44743504-4BFF-3B46-87DE-A0AE5C8C9FC0}" name="4" dataDxfId="1848" totalsRowDxfId="1847"/>
    <tableColumn id="6" xr3:uid="{471BE969-F222-D642-8D1A-B386CCC29AB2}" name="5" dataDxfId="1846" totalsRowDxfId="1845"/>
    <tableColumn id="7" xr3:uid="{35FEC3F2-5280-D342-A070-AB9A3C3BCF0A}" name="6" dataDxfId="1844" totalsRowDxfId="1843"/>
    <tableColumn id="8" xr3:uid="{D4047C63-7046-5242-9483-0BC31BD18200}" name="7" dataDxfId="1842" totalsRowDxfId="1841"/>
    <tableColumn id="9" xr3:uid="{79A2B7D0-444A-5942-9296-2BD32E471C66}" name="8" dataDxfId="1840" totalsRowDxfId="1839"/>
    <tableColumn id="10" xr3:uid="{B46D113E-7D39-5A43-BAA4-11739C4AD0C2}" name="9" dataDxfId="1838" totalsRowDxfId="1837"/>
    <tableColumn id="11" xr3:uid="{977EC8E9-AEB6-3E40-BE79-A406D4D3444D}" name="10" dataDxfId="1836" totalsRowDxfId="1835"/>
    <tableColumn id="12" xr3:uid="{42883C66-F682-394E-8D72-6C0286CB27EA}" name="11" dataDxfId="1834" totalsRowDxfId="1833"/>
    <tableColumn id="13" xr3:uid="{9A10401F-4CF0-8641-BCEB-2237315C8881}" name="12" dataDxfId="1832" totalsRowDxfId="1831"/>
    <tableColumn id="14" xr3:uid="{9C8C4D04-BE8B-FB44-9666-B515D905B2D6}" name="13" dataDxfId="1830" totalsRowDxfId="1829"/>
    <tableColumn id="15" xr3:uid="{E996717D-17EC-B048-A561-2AD987D342D0}" name="14" dataDxfId="1828" totalsRowDxfId="1827"/>
    <tableColumn id="16" xr3:uid="{3BFEBF2B-F60F-A142-86F2-75C9DC96AFDB}" name="15" dataDxfId="1826" totalsRowDxfId="1825"/>
    <tableColumn id="17" xr3:uid="{0C97EF54-1361-BE43-8F7F-1BCE23E1AB5A}" name="16" dataDxfId="1824" totalsRowDxfId="1823"/>
    <tableColumn id="18" xr3:uid="{257791F4-E1CB-0642-BD3B-FB1B81C57DF1}" name="17" dataDxfId="1822" totalsRowDxfId="1821"/>
    <tableColumn id="19" xr3:uid="{BB7AB6EF-7B76-5946-B53A-22DB3EB1F3FC}" name="18" dataDxfId="1820" totalsRowDxfId="1819"/>
    <tableColumn id="20" xr3:uid="{85AEA6C3-1E60-234F-8E68-DD23536D850B}" name="19" dataDxfId="1818" totalsRowDxfId="1817"/>
    <tableColumn id="21" xr3:uid="{A73B9507-91D4-9B42-8C0E-1E0FB67905F8}" name="20" dataDxfId="1816" totalsRowDxfId="1815"/>
    <tableColumn id="22" xr3:uid="{5C7BDCBF-0A5A-4549-B80B-C8343893EAF7}" name="21" dataDxfId="1814" totalsRowDxfId="1813"/>
    <tableColumn id="23" xr3:uid="{EC439ECF-E0C6-5D41-9DA2-07E3E82FF691}" name="22" dataDxfId="1812" totalsRowDxfId="1811"/>
    <tableColumn id="24" xr3:uid="{97854A72-AEC9-604B-B1D4-06EC15436469}" name="23" dataDxfId="1810" totalsRowDxfId="1809"/>
    <tableColumn id="25" xr3:uid="{F701FD79-E584-DF4B-83E9-A152532FDD15}" name="24" dataDxfId="1808" totalsRowDxfId="1807"/>
    <tableColumn id="26" xr3:uid="{C662F6C1-F102-5942-8719-E32AD8792020}" name="25" dataDxfId="1806" totalsRowDxfId="1805"/>
    <tableColumn id="27" xr3:uid="{50B9E2E5-9F39-0F45-AE9B-4555A77D295D}" name="26" dataDxfId="1804" totalsRowDxfId="1803"/>
    <tableColumn id="28" xr3:uid="{3E4AF3CF-CB70-0842-B373-83CF59CBDA1D}" name="27" dataDxfId="1802" totalsRowDxfId="1801"/>
    <tableColumn id="29" xr3:uid="{C5FCD875-31A1-4B41-AAF6-09E535D80C81}" name="28" dataDxfId="1800" totalsRowDxfId="1799"/>
    <tableColumn id="30" xr3:uid="{84F06E67-080B-CA42-8EEC-59690B041A03}" name="29" dataDxfId="1798" totalsRowDxfId="1797"/>
    <tableColumn id="31" xr3:uid="{284765D5-58F9-F440-84EA-ACE449176ACA}" name="30" dataDxfId="1796" totalsRowDxfId="1795"/>
    <tableColumn id="32" xr3:uid="{9C77C5AD-4E19-B843-B9BE-2909F268D667}" name=" " dataDxfId="1794" totalsRowDxfId="1793" dataCellStyle="Total"/>
    <tableColumn id="33" xr3:uid="{0DA7656D-8525-2046-AEDA-1F40E411BD0D}" name="Nombre de location" dataDxfId="1792" totalsRowDxfId="1791" dataCellStyle="Total">
      <calculatedColumnFormula>COUNTA(March5[[#This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E83FD69-EC79-6B43-9728-DBC90C3FDC77}" name="March58" displayName="March58" ref="B8:AH16" totalsRowShown="0" headerRowDxfId="1790" dataDxfId="1789" totalsRowDxfId="1788">
  <tableColumns count="33">
    <tableColumn id="1" xr3:uid="{5910D0B6-76A8-1646-97A8-4AE2D1756125}" name="Materiel Comité" dataDxfId="1787" totalsRowDxfId="1786" dataCellStyle="Employé"/>
    <tableColumn id="2" xr3:uid="{69C27970-12EA-0E42-AF5F-351BA83FD215}" name="1" dataDxfId="1785" totalsRowDxfId="1784"/>
    <tableColumn id="3" xr3:uid="{2DB67051-6E13-964F-86B0-B00AA9A5BFAF}" name="2" dataDxfId="1783" totalsRowDxfId="1782"/>
    <tableColumn id="4" xr3:uid="{CF201FDD-65B9-BE4B-BE51-45EFCA258036}" name="3" dataDxfId="1781" totalsRowDxfId="1780"/>
    <tableColumn id="5" xr3:uid="{E03823B4-0CCA-7D47-BCFD-4BB07A97D88C}" name="4" dataDxfId="1779" totalsRowDxfId="1778"/>
    <tableColumn id="6" xr3:uid="{5F39FD90-2520-0847-B186-6CA5B07A072F}" name="5" dataDxfId="1777" totalsRowDxfId="1776"/>
    <tableColumn id="7" xr3:uid="{D7992C25-6255-D54A-8B77-C3032B2914E8}" name="6" dataDxfId="1775" totalsRowDxfId="1774"/>
    <tableColumn id="8" xr3:uid="{161AB8A2-4451-FA40-9408-833AFFC6D7CD}" name="7" dataDxfId="1773" totalsRowDxfId="1772"/>
    <tableColumn id="9" xr3:uid="{82432B13-145C-AC4E-A84F-0C211DED3AEE}" name="8" dataDxfId="1771" totalsRowDxfId="1770"/>
    <tableColumn id="10" xr3:uid="{994E3A00-A93E-8A4C-A93F-5DF73DB59AA5}" name="9" dataDxfId="1769" totalsRowDxfId="1768"/>
    <tableColumn id="11" xr3:uid="{ADA642AC-6B5D-4749-B631-64A63466A02A}" name="10" dataDxfId="1767" totalsRowDxfId="1766"/>
    <tableColumn id="12" xr3:uid="{E1D9D052-9150-4B4A-873C-04B0C9F0EAA0}" name="11" dataDxfId="1765" totalsRowDxfId="1764"/>
    <tableColumn id="13" xr3:uid="{7804DD46-EEB3-7047-A68F-A81094B2F0E0}" name="12" dataDxfId="1763" totalsRowDxfId="1762"/>
    <tableColumn id="14" xr3:uid="{39F98B96-5BF4-7747-A3D2-F58049C2C331}" name="13" dataDxfId="1761" totalsRowDxfId="1760"/>
    <tableColumn id="15" xr3:uid="{8908FF7E-1791-CA41-8CF3-4A9F971974C3}" name="14" dataDxfId="1759" totalsRowDxfId="1758"/>
    <tableColumn id="16" xr3:uid="{773FDBBE-AB42-A546-8329-8BDAEF4D06C4}" name="15" dataDxfId="1757" totalsRowDxfId="1756"/>
    <tableColumn id="17" xr3:uid="{01EE92EC-B490-AF40-BDB2-290F1B1C3C58}" name="16" dataDxfId="1755" totalsRowDxfId="1754"/>
    <tableColumn id="18" xr3:uid="{DF22A54C-2BE2-1340-BC66-FDDF323ABBE0}" name="17" dataDxfId="1753" totalsRowDxfId="1752"/>
    <tableColumn id="19" xr3:uid="{BB1CDCA3-E15B-8D4E-ABE5-0D5BE02A950E}" name="18" dataDxfId="1751" totalsRowDxfId="1750"/>
    <tableColumn id="20" xr3:uid="{4D5E657B-D9D2-8C4A-A4EB-E29B4B8BCF70}" name="19" dataDxfId="1749" totalsRowDxfId="1748"/>
    <tableColumn id="21" xr3:uid="{B5D1019E-86BD-A146-A976-653D87FAC02B}" name="20" dataDxfId="1747" totalsRowDxfId="1746"/>
    <tableColumn id="22" xr3:uid="{D1F7F5A1-B363-AC44-9332-4BA33D6CCEA8}" name="21" dataDxfId="1745" totalsRowDxfId="1744"/>
    <tableColumn id="23" xr3:uid="{0EEDA366-AE45-0947-A354-D1B1BEB67F28}" name="22" dataDxfId="1743" totalsRowDxfId="1742"/>
    <tableColumn id="24" xr3:uid="{8DB56569-FE6B-4249-B364-D76AC1D9BE79}" name="23" dataDxfId="1741" totalsRowDxfId="1740"/>
    <tableColumn id="25" xr3:uid="{5BECBC0C-925A-8245-AD6D-847781A68957}" name="24" dataDxfId="1739" totalsRowDxfId="1738"/>
    <tableColumn id="26" xr3:uid="{7D745BDB-6C53-8B4B-BA72-5FBDCB5D9CCC}" name="25" dataDxfId="1737" totalsRowDxfId="1736"/>
    <tableColumn id="27" xr3:uid="{FA6FFB4C-5E6D-DA4E-8F87-EEC900B26695}" name="26" dataDxfId="1735" totalsRowDxfId="1734"/>
    <tableColumn id="28" xr3:uid="{A50BDA94-D72B-C043-A8B2-E1E178EA827F}" name="27" dataDxfId="1733" totalsRowDxfId="1732"/>
    <tableColumn id="29" xr3:uid="{D68B12D0-F485-FF42-B2E6-30EC0E2C418D}" name="28" dataDxfId="1731" totalsRowDxfId="1730"/>
    <tableColumn id="30" xr3:uid="{695C2584-A6A5-D742-A768-02D19E90DEBC}" name="29" dataDxfId="1729" totalsRowDxfId="1728"/>
    <tableColumn id="31" xr3:uid="{0B002160-8CE9-4B4E-A7A4-CFE8C54F8781}" name="30" dataDxfId="1727" totalsRowDxfId="1726"/>
    <tableColumn id="32" xr3:uid="{9A241B27-F77F-9E49-9678-7978D0423F17}" name="31" dataDxfId="1725" totalsRowDxfId="1724" dataCellStyle="Total"/>
    <tableColumn id="33" xr3:uid="{C85EB010-29D3-FD4A-9882-B705BDC3D2EF}" name="Nombre de location" dataDxfId="1723" totalsRowDxfId="1722" dataCellStyle="Total">
      <calculatedColumnFormula>COUNTA(March58[[#This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5000000}" name="Juin" displayName="Juin" ref="B8:AH16" totalsRowShown="0" headerRowDxfId="1721" dataDxfId="1720" totalsRowDxfId="1719">
  <tableColumns count="33">
    <tableColumn id="1" xr3:uid="{00000000-0010-0000-0500-000001000000}" name="Materiel Comité" dataDxfId="1718" totalsRowDxfId="1717" dataCellStyle="Employé"/>
    <tableColumn id="2" xr3:uid="{00000000-0010-0000-0500-000002000000}" name="1" dataDxfId="1716" totalsRowDxfId="1715"/>
    <tableColumn id="3" xr3:uid="{00000000-0010-0000-0500-000003000000}" name="2" dataDxfId="1714" totalsRowDxfId="1713"/>
    <tableColumn id="4" xr3:uid="{00000000-0010-0000-0500-000004000000}" name="3" dataDxfId="1712" totalsRowDxfId="1711"/>
    <tableColumn id="5" xr3:uid="{00000000-0010-0000-0500-000005000000}" name="4" dataDxfId="1710" totalsRowDxfId="1709"/>
    <tableColumn id="6" xr3:uid="{00000000-0010-0000-0500-000006000000}" name="5" dataDxfId="1708" totalsRowDxfId="1707"/>
    <tableColumn id="7" xr3:uid="{00000000-0010-0000-0500-000007000000}" name="6" dataDxfId="1706" totalsRowDxfId="1705"/>
    <tableColumn id="8" xr3:uid="{00000000-0010-0000-0500-000008000000}" name="7" dataDxfId="1704" totalsRowDxfId="1703"/>
    <tableColumn id="9" xr3:uid="{00000000-0010-0000-0500-000009000000}" name="8" dataDxfId="1702" totalsRowDxfId="1701"/>
    <tableColumn id="10" xr3:uid="{00000000-0010-0000-0500-00000A000000}" name="9" dataDxfId="1700" totalsRowDxfId="1699"/>
    <tableColumn id="11" xr3:uid="{00000000-0010-0000-0500-00000B000000}" name="10" dataDxfId="1698" totalsRowDxfId="1697"/>
    <tableColumn id="12" xr3:uid="{00000000-0010-0000-0500-00000C000000}" name="11" dataDxfId="1696" totalsRowDxfId="1695"/>
    <tableColumn id="13" xr3:uid="{00000000-0010-0000-0500-00000D000000}" name="12" dataDxfId="1694" totalsRowDxfId="1693"/>
    <tableColumn id="14" xr3:uid="{00000000-0010-0000-0500-00000E000000}" name="13" dataDxfId="1692" totalsRowDxfId="1691"/>
    <tableColumn id="15" xr3:uid="{00000000-0010-0000-0500-00000F000000}" name="14" dataDxfId="1690" totalsRowDxfId="1689"/>
    <tableColumn id="16" xr3:uid="{00000000-0010-0000-0500-000010000000}" name="15" dataDxfId="1688" totalsRowDxfId="1687"/>
    <tableColumn id="17" xr3:uid="{00000000-0010-0000-0500-000011000000}" name="16" dataDxfId="1686" totalsRowDxfId="1685"/>
    <tableColumn id="18" xr3:uid="{00000000-0010-0000-0500-000012000000}" name="17" dataDxfId="1684" totalsRowDxfId="1683"/>
    <tableColumn id="19" xr3:uid="{00000000-0010-0000-0500-000013000000}" name="18" dataDxfId="1682" totalsRowDxfId="1681"/>
    <tableColumn id="20" xr3:uid="{00000000-0010-0000-0500-000014000000}" name="19" dataDxfId="1680" totalsRowDxfId="1679"/>
    <tableColumn id="21" xr3:uid="{00000000-0010-0000-0500-000015000000}" name="20" dataDxfId="1678" totalsRowDxfId="1677"/>
    <tableColumn id="22" xr3:uid="{00000000-0010-0000-0500-000016000000}" name="21" dataDxfId="1676" totalsRowDxfId="1675"/>
    <tableColumn id="23" xr3:uid="{00000000-0010-0000-0500-000017000000}" name="22" dataDxfId="1674" totalsRowDxfId="1673"/>
    <tableColumn id="24" xr3:uid="{00000000-0010-0000-0500-000018000000}" name="23" dataDxfId="1672" totalsRowDxfId="1671"/>
    <tableColumn id="25" xr3:uid="{00000000-0010-0000-0500-000019000000}" name="24" dataDxfId="1670" totalsRowDxfId="1669"/>
    <tableColumn id="26" xr3:uid="{00000000-0010-0000-0500-00001A000000}" name="25" dataDxfId="1668" totalsRowDxfId="1667"/>
    <tableColumn id="27" xr3:uid="{00000000-0010-0000-0500-00001B000000}" name="26" dataDxfId="1666" totalsRowDxfId="1665"/>
    <tableColumn id="28" xr3:uid="{00000000-0010-0000-0500-00001C000000}" name="27" dataDxfId="1664" totalsRowDxfId="1663"/>
    <tableColumn id="29" xr3:uid="{00000000-0010-0000-0500-00001D000000}" name="28" dataDxfId="1662" totalsRowDxfId="1661"/>
    <tableColumn id="30" xr3:uid="{00000000-0010-0000-0500-00001E000000}" name="29" dataDxfId="1660" totalsRowDxfId="1659"/>
    <tableColumn id="31" xr3:uid="{00000000-0010-0000-0500-00001F000000}" name="30" dataDxfId="1658" totalsRowDxfId="1657"/>
    <tableColumn id="32" xr3:uid="{00000000-0010-0000-0500-000020000000}" name=" " dataDxfId="1656" totalsRowDxfId="1655" dataCellStyle="Total"/>
    <tableColumn id="33" xr3:uid="{00000000-0010-0000-0500-000021000000}" name="Nombre de location" dataDxfId="1654" totalsRowDxfId="1653" dataCellStyle="Total">
      <calculatedColumnFormula>COUNTA(Juin[[#This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6000000}" name="Juillet" displayName="Juillet" ref="B8:AH16" totalsRowShown="0" headerRowDxfId="1652" dataDxfId="1651" totalsRowDxfId="1650">
  <tableColumns count="33">
    <tableColumn id="1" xr3:uid="{00000000-0010-0000-0600-000001000000}" name="Materiel Comité" dataDxfId="1649" totalsRowDxfId="1648" dataCellStyle="Employé"/>
    <tableColumn id="2" xr3:uid="{00000000-0010-0000-0600-000002000000}" name="1" dataDxfId="1647" totalsRowDxfId="1646"/>
    <tableColumn id="3" xr3:uid="{00000000-0010-0000-0600-000003000000}" name="2" dataDxfId="1645" totalsRowDxfId="1644"/>
    <tableColumn id="4" xr3:uid="{00000000-0010-0000-0600-000004000000}" name="3" dataDxfId="1643" totalsRowDxfId="1642"/>
    <tableColumn id="5" xr3:uid="{00000000-0010-0000-0600-000005000000}" name="4" dataDxfId="1641" totalsRowDxfId="1640"/>
    <tableColumn id="6" xr3:uid="{00000000-0010-0000-0600-000006000000}" name="5" dataDxfId="1639" totalsRowDxfId="1638"/>
    <tableColumn id="7" xr3:uid="{00000000-0010-0000-0600-000007000000}" name="6" dataDxfId="1637" totalsRowDxfId="1636"/>
    <tableColumn id="8" xr3:uid="{00000000-0010-0000-0600-000008000000}" name="7" dataDxfId="1635" totalsRowDxfId="1634"/>
    <tableColumn id="9" xr3:uid="{00000000-0010-0000-0600-000009000000}" name="8" dataDxfId="1633" totalsRowDxfId="1632"/>
    <tableColumn id="10" xr3:uid="{00000000-0010-0000-0600-00000A000000}" name="9" dataDxfId="1631" totalsRowDxfId="1630"/>
    <tableColumn id="11" xr3:uid="{00000000-0010-0000-0600-00000B000000}" name="10" dataDxfId="1629" totalsRowDxfId="1628"/>
    <tableColumn id="12" xr3:uid="{00000000-0010-0000-0600-00000C000000}" name="11" dataDxfId="1627" totalsRowDxfId="1626"/>
    <tableColumn id="13" xr3:uid="{00000000-0010-0000-0600-00000D000000}" name="12" dataDxfId="1625" totalsRowDxfId="1624"/>
    <tableColumn id="14" xr3:uid="{00000000-0010-0000-0600-00000E000000}" name="13" dataDxfId="1623" totalsRowDxfId="1622"/>
    <tableColumn id="15" xr3:uid="{00000000-0010-0000-0600-00000F000000}" name="14" dataDxfId="1621" totalsRowDxfId="1620"/>
    <tableColumn id="16" xr3:uid="{00000000-0010-0000-0600-000010000000}" name="15" dataDxfId="1619" totalsRowDxfId="1618"/>
    <tableColumn id="17" xr3:uid="{00000000-0010-0000-0600-000011000000}" name="16" dataDxfId="1617" totalsRowDxfId="1616"/>
    <tableColumn id="18" xr3:uid="{00000000-0010-0000-0600-000012000000}" name="17" dataDxfId="1615" totalsRowDxfId="1614"/>
    <tableColumn id="19" xr3:uid="{00000000-0010-0000-0600-000013000000}" name="18" dataDxfId="1613" totalsRowDxfId="1612"/>
    <tableColumn id="20" xr3:uid="{00000000-0010-0000-0600-000014000000}" name="19" dataDxfId="1611" totalsRowDxfId="1610"/>
    <tableColumn id="21" xr3:uid="{00000000-0010-0000-0600-000015000000}" name="20" dataDxfId="1609" totalsRowDxfId="1608"/>
    <tableColumn id="22" xr3:uid="{00000000-0010-0000-0600-000016000000}" name="21" dataDxfId="1607" totalsRowDxfId="1606"/>
    <tableColumn id="23" xr3:uid="{00000000-0010-0000-0600-000017000000}" name="22" dataDxfId="1605" totalsRowDxfId="1604"/>
    <tableColumn id="24" xr3:uid="{00000000-0010-0000-0600-000018000000}" name="23" dataDxfId="1603" totalsRowDxfId="1602"/>
    <tableColumn id="25" xr3:uid="{00000000-0010-0000-0600-000019000000}" name="24" dataDxfId="1601" totalsRowDxfId="1600"/>
    <tableColumn id="26" xr3:uid="{00000000-0010-0000-0600-00001A000000}" name="25" dataDxfId="1599" totalsRowDxfId="1598"/>
    <tableColumn id="27" xr3:uid="{00000000-0010-0000-0600-00001B000000}" name="26" dataDxfId="1597" totalsRowDxfId="1596"/>
    <tableColumn id="28" xr3:uid="{00000000-0010-0000-0600-00001C000000}" name="27" dataDxfId="1595" totalsRowDxfId="1594"/>
    <tableColumn id="29" xr3:uid="{00000000-0010-0000-0600-00001D000000}" name="28" dataDxfId="1593" totalsRowDxfId="1592"/>
    <tableColumn id="30" xr3:uid="{00000000-0010-0000-0600-00001E000000}" name="29" dataDxfId="1591" totalsRowDxfId="1590"/>
    <tableColumn id="31" xr3:uid="{00000000-0010-0000-0600-00001F000000}" name="30" dataDxfId="1589" totalsRowDxfId="1588"/>
    <tableColumn id="32" xr3:uid="{00000000-0010-0000-0600-000020000000}" name="31" dataDxfId="1587" totalsRowDxfId="1586" dataCellStyle="Total"/>
    <tableColumn id="33" xr3:uid="{00000000-0010-0000-0600-000021000000}" name="Nombre de location" dataDxfId="1585" totalsRowDxfId="1584" dataCellStyle="Total">
      <calculatedColumnFormula>COUNTA(Juillet[[#This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7000000}" name="Août" displayName="Août" ref="B8:AH16" totalsRowShown="0" headerRowDxfId="1583" dataDxfId="1582" totalsRowDxfId="1581">
  <tableColumns count="33">
    <tableColumn id="1" xr3:uid="{00000000-0010-0000-0700-000001000000}" name="Materiel Comité" dataDxfId="1580" totalsRowDxfId="1579" dataCellStyle="Employé"/>
    <tableColumn id="2" xr3:uid="{00000000-0010-0000-0700-000002000000}" name="1" dataDxfId="1578" totalsRowDxfId="1577"/>
    <tableColumn id="3" xr3:uid="{00000000-0010-0000-0700-000003000000}" name="2" dataDxfId="1576" totalsRowDxfId="1575"/>
    <tableColumn id="4" xr3:uid="{00000000-0010-0000-0700-000004000000}" name="3" dataDxfId="1574" totalsRowDxfId="1573"/>
    <tableColumn id="5" xr3:uid="{00000000-0010-0000-0700-000005000000}" name="4" dataDxfId="1572" totalsRowDxfId="1571"/>
    <tableColumn id="6" xr3:uid="{00000000-0010-0000-0700-000006000000}" name="5" dataDxfId="1570" totalsRowDxfId="1569"/>
    <tableColumn id="7" xr3:uid="{00000000-0010-0000-0700-000007000000}" name="6" dataDxfId="1568" totalsRowDxfId="1567"/>
    <tableColumn id="8" xr3:uid="{00000000-0010-0000-0700-000008000000}" name="7" dataDxfId="1566" totalsRowDxfId="1565"/>
    <tableColumn id="9" xr3:uid="{00000000-0010-0000-0700-000009000000}" name="8" dataDxfId="1564" totalsRowDxfId="1563"/>
    <tableColumn id="10" xr3:uid="{00000000-0010-0000-0700-00000A000000}" name="9" dataDxfId="1562" totalsRowDxfId="1561"/>
    <tableColumn id="11" xr3:uid="{00000000-0010-0000-0700-00000B000000}" name="10" dataDxfId="1560" totalsRowDxfId="1559"/>
    <tableColumn id="12" xr3:uid="{00000000-0010-0000-0700-00000C000000}" name="11" dataDxfId="1558" totalsRowDxfId="1557"/>
    <tableColumn id="13" xr3:uid="{00000000-0010-0000-0700-00000D000000}" name="12" dataDxfId="1556" totalsRowDxfId="1555"/>
    <tableColumn id="14" xr3:uid="{00000000-0010-0000-0700-00000E000000}" name="13" dataDxfId="1554" totalsRowDxfId="1553"/>
    <tableColumn id="15" xr3:uid="{00000000-0010-0000-0700-00000F000000}" name="14" dataDxfId="1552" totalsRowDxfId="1551"/>
    <tableColumn id="16" xr3:uid="{00000000-0010-0000-0700-000010000000}" name="15" dataDxfId="1550" totalsRowDxfId="1549"/>
    <tableColumn id="17" xr3:uid="{00000000-0010-0000-0700-000011000000}" name="16" dataDxfId="1548" totalsRowDxfId="1547"/>
    <tableColumn id="18" xr3:uid="{00000000-0010-0000-0700-000012000000}" name="17" dataDxfId="1546" totalsRowDxfId="1545"/>
    <tableColumn id="19" xr3:uid="{00000000-0010-0000-0700-000013000000}" name="18" dataDxfId="1544" totalsRowDxfId="1543"/>
    <tableColumn id="20" xr3:uid="{00000000-0010-0000-0700-000014000000}" name="19" dataDxfId="1542" totalsRowDxfId="1541"/>
    <tableColumn id="21" xr3:uid="{00000000-0010-0000-0700-000015000000}" name="20" dataDxfId="1540" totalsRowDxfId="1539"/>
    <tableColumn id="22" xr3:uid="{00000000-0010-0000-0700-000016000000}" name="21" dataDxfId="1538" totalsRowDxfId="1537"/>
    <tableColumn id="23" xr3:uid="{00000000-0010-0000-0700-000017000000}" name="22" dataDxfId="1536" totalsRowDxfId="1535"/>
    <tableColumn id="24" xr3:uid="{00000000-0010-0000-0700-000018000000}" name="23" dataDxfId="1534" totalsRowDxfId="1533"/>
    <tableColumn id="25" xr3:uid="{00000000-0010-0000-0700-000019000000}" name="24" dataDxfId="1532" totalsRowDxfId="1531"/>
    <tableColumn id="26" xr3:uid="{00000000-0010-0000-0700-00001A000000}" name="25" dataDxfId="1530" totalsRowDxfId="1529"/>
    <tableColumn id="27" xr3:uid="{00000000-0010-0000-0700-00001B000000}" name="26" dataDxfId="1528" totalsRowDxfId="1527"/>
    <tableColumn id="28" xr3:uid="{00000000-0010-0000-0700-00001C000000}" name="27" dataDxfId="1526" totalsRowDxfId="1525"/>
    <tableColumn id="29" xr3:uid="{00000000-0010-0000-0700-00001D000000}" name="28" dataDxfId="1524" totalsRowDxfId="1523"/>
    <tableColumn id="30" xr3:uid="{00000000-0010-0000-0700-00001E000000}" name="29" dataDxfId="1522" totalsRowDxfId="1521"/>
    <tableColumn id="31" xr3:uid="{00000000-0010-0000-0700-00001F000000}" name="30" dataDxfId="1520" totalsRowDxfId="1519"/>
    <tableColumn id="32" xr3:uid="{00000000-0010-0000-0700-000020000000}" name="31" dataDxfId="1518" totalsRowDxfId="1517" dataCellStyle="Total"/>
    <tableColumn id="33" xr3:uid="{00000000-0010-0000-0700-000021000000}" name="Nombre de location" dataDxfId="1516" totalsRowDxfId="1515" dataCellStyle="Total">
      <calculatedColumnFormula>COUNTA(Août[[#This Row],[1]:[31]])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8000000}" name="Septembre" displayName="Septembre" ref="B8:AH16" totalsRowShown="0" headerRowDxfId="1514" dataDxfId="1513" totalsRowDxfId="1512">
  <tableColumns count="33">
    <tableColumn id="1" xr3:uid="{00000000-0010-0000-0800-000001000000}" name="Materiel Comité" dataDxfId="1511" totalsRowDxfId="1510" dataCellStyle="Employé"/>
    <tableColumn id="2" xr3:uid="{00000000-0010-0000-0800-000002000000}" name="1" dataDxfId="1509" totalsRowDxfId="1508"/>
    <tableColumn id="3" xr3:uid="{00000000-0010-0000-0800-000003000000}" name="2" dataDxfId="1507" totalsRowDxfId="1506"/>
    <tableColumn id="4" xr3:uid="{00000000-0010-0000-0800-000004000000}" name="3" dataDxfId="1505" totalsRowDxfId="1504"/>
    <tableColumn id="5" xr3:uid="{00000000-0010-0000-0800-000005000000}" name="4" dataDxfId="1503" totalsRowDxfId="1502"/>
    <tableColumn id="6" xr3:uid="{00000000-0010-0000-0800-000006000000}" name="5" dataDxfId="1501" totalsRowDxfId="1500"/>
    <tableColumn id="7" xr3:uid="{00000000-0010-0000-0800-000007000000}" name="6" dataDxfId="1499" totalsRowDxfId="1498"/>
    <tableColumn id="8" xr3:uid="{00000000-0010-0000-0800-000008000000}" name="7" dataDxfId="1497" totalsRowDxfId="1496"/>
    <tableColumn id="9" xr3:uid="{00000000-0010-0000-0800-000009000000}" name="8" dataDxfId="1495" totalsRowDxfId="1494"/>
    <tableColumn id="10" xr3:uid="{00000000-0010-0000-0800-00000A000000}" name="9" dataDxfId="1493" totalsRowDxfId="1492"/>
    <tableColumn id="11" xr3:uid="{00000000-0010-0000-0800-00000B000000}" name="10" dataDxfId="1491" totalsRowDxfId="1490"/>
    <tableColumn id="12" xr3:uid="{00000000-0010-0000-0800-00000C000000}" name="11" dataDxfId="1489" totalsRowDxfId="1488"/>
    <tableColumn id="13" xr3:uid="{00000000-0010-0000-0800-00000D000000}" name="12" dataDxfId="1487" totalsRowDxfId="1486"/>
    <tableColumn id="14" xr3:uid="{00000000-0010-0000-0800-00000E000000}" name="13" dataDxfId="1485" totalsRowDxfId="1484"/>
    <tableColumn id="15" xr3:uid="{00000000-0010-0000-0800-00000F000000}" name="14" dataDxfId="1483" totalsRowDxfId="1482"/>
    <tableColumn id="16" xr3:uid="{00000000-0010-0000-0800-000010000000}" name="15" dataDxfId="1481" totalsRowDxfId="1480"/>
    <tableColumn id="17" xr3:uid="{00000000-0010-0000-0800-000011000000}" name="16" dataDxfId="1479" totalsRowDxfId="1478"/>
    <tableColumn id="18" xr3:uid="{00000000-0010-0000-0800-000012000000}" name="17" dataDxfId="1477" totalsRowDxfId="1476"/>
    <tableColumn id="19" xr3:uid="{00000000-0010-0000-0800-000013000000}" name="18" dataDxfId="1475" totalsRowDxfId="1474"/>
    <tableColumn id="20" xr3:uid="{00000000-0010-0000-0800-000014000000}" name="19" dataDxfId="1473" totalsRowDxfId="1472"/>
    <tableColumn id="21" xr3:uid="{00000000-0010-0000-0800-000015000000}" name="20" dataDxfId="1471" totalsRowDxfId="1470"/>
    <tableColumn id="22" xr3:uid="{00000000-0010-0000-0800-000016000000}" name="21" dataDxfId="1469" totalsRowDxfId="1468"/>
    <tableColumn id="23" xr3:uid="{00000000-0010-0000-0800-000017000000}" name="22" dataDxfId="1467" totalsRowDxfId="1466"/>
    <tableColumn id="24" xr3:uid="{00000000-0010-0000-0800-000018000000}" name="23" dataDxfId="1465" totalsRowDxfId="1464"/>
    <tableColumn id="25" xr3:uid="{00000000-0010-0000-0800-000019000000}" name="24" dataDxfId="1463" totalsRowDxfId="1462"/>
    <tableColumn id="26" xr3:uid="{00000000-0010-0000-0800-00001A000000}" name="25" dataDxfId="1461" totalsRowDxfId="1460"/>
    <tableColumn id="27" xr3:uid="{00000000-0010-0000-0800-00001B000000}" name="26" dataDxfId="1459" totalsRowDxfId="1458"/>
    <tableColumn id="28" xr3:uid="{00000000-0010-0000-0800-00001C000000}" name="27" dataDxfId="1457" totalsRowDxfId="1456"/>
    <tableColumn id="29" xr3:uid="{00000000-0010-0000-0800-00001D000000}" name="28" dataDxfId="1455" totalsRowDxfId="1454"/>
    <tableColumn id="30" xr3:uid="{00000000-0010-0000-0800-00001E000000}" name="29" dataDxfId="1453" totalsRowDxfId="1452"/>
    <tableColumn id="31" xr3:uid="{00000000-0010-0000-0800-00001F000000}" name="30" dataDxfId="1451" totalsRowDxfId="1450"/>
    <tableColumn id="32" xr3:uid="{00000000-0010-0000-0800-000020000000}" name=" " dataDxfId="1449" totalsRowDxfId="1448" dataCellStyle="Total"/>
    <tableColumn id="33" xr3:uid="{00000000-0010-0000-0800-000021000000}" name="Nombre de location" dataDxfId="1447" totalsRowDxfId="1446" dataCellStyle="Total">
      <calculatedColumnFormula>COUNTA(Septembre[[#This Row],[1]:[ ]])</calculatedColumnFormula>
    </tableColumn>
  </tableColumns>
  <tableStyleInfo name="Tableau des absences des employés" showFirstColumn="1" showLastColumn="1" showRowStripes="1" showColumnStripes="0"/>
  <extLst>
    <ext xmlns:x14="http://schemas.microsoft.com/office/spreadsheetml/2009/9/main" uri="{504A1905-F514-4f6f-8877-14C23A59335A}">
      <x14:table altTextSummary="Entrez les noms des employés et les dates d’absence. Enregistrez le motif d’absence à l’aide des clés figurant dans la ligne 12 : C=Congé, M=Maladie, P=Personnel, et deux espaces réservés pour des entrées personnalisées"/>
    </ext>
  </extLst>
</table>
</file>

<file path=xl/theme/theme1.xml><?xml version="1.0" encoding="utf-8"?>
<a:theme xmlns:a="http://schemas.openxmlformats.org/drawingml/2006/main" name="Office Theme">
  <a:themeElements>
    <a:clrScheme name="TM03987167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1F452F"/>
      </a:accent1>
      <a:accent2>
        <a:srgbClr val="709A97"/>
      </a:accent2>
      <a:accent3>
        <a:srgbClr val="1B417C"/>
      </a:accent3>
      <a:accent4>
        <a:srgbClr val="D8A141"/>
      </a:accent4>
      <a:accent5>
        <a:srgbClr val="CAAFF3"/>
      </a:accent5>
      <a:accent6>
        <a:srgbClr val="EF5C37"/>
      </a:accent6>
      <a:hlink>
        <a:srgbClr val="0563C1"/>
      </a:hlink>
      <a:folHlink>
        <a:srgbClr val="954F72"/>
      </a:folHlink>
    </a:clrScheme>
    <a:fontScheme name="Employee Absence Schedul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9" dT="2025-05-19T13:38:28.05" personId="{00000000-0000-0000-0000-000000000000}" id="{04D2F831-FD44-4E77-AC4E-9D8EED7215BB}">
    <text xml:space="preserve">Mairie Voisins </text>
  </threadedComment>
  <threadedComment ref="Y10" dT="2025-05-14T10:12:50.14" personId="{00000000-0000-0000-0000-000000000000}" id="{644F4D3A-1BB5-4313-A24D-1492D82FA017}">
    <text>Triel</text>
  </threadedComment>
  <threadedComment ref="AG11" dT="2025-05-14T13:07:57.22" personId="{00000000-0000-0000-0000-000000000000}" id="{57C4D6A7-2D44-467D-B773-9B0FE904743F}">
    <text>ARB</text>
  </threadedComment>
  <threadedComment ref="AG13" dT="2025-05-14T13:08:03.10" personId="{00000000-0000-0000-0000-000000000000}" id="{53045CEF-4F8E-4200-9550-D20914E8AB3B}">
    <text>ARB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N10" dT="2025-05-14T10:13:52.84" personId="{00000000-0000-0000-0000-000000000000}" id="{9D1D6BE1-167A-4714-BE06-C329DF368927}">
    <text>CBS</text>
  </threadedComment>
  <threadedComment ref="W10" dT="2025-05-14T10:14:42.49" personId="{00000000-0000-0000-0000-000000000000}" id="{032F9FAC-2280-426B-91D6-43909087F1B3}">
    <text>VB</text>
  </threadedComment>
  <threadedComment ref="C11" dT="2025-05-14T13:07:09.61" personId="{00000000-0000-0000-0000-000000000000}" id="{CBCFA78D-6D4B-4035-B9A2-542E5901E1DE}">
    <text>ARB</text>
  </threadedComment>
  <threadedComment ref="O11" dT="2025-06-10T12:45:47.39" personId="{00000000-0000-0000-0000-000000000000}" id="{424752BC-9B58-492E-AD6A-3370B85E6C3C}">
    <text>MB</text>
  </threadedComment>
  <threadedComment ref="O12" dT="2025-06-10T12:45:57.52" personId="{00000000-0000-0000-0000-000000000000}" id="{B4FA7936-43CE-4894-9751-4F05B568C37D}">
    <text>MB</text>
  </threadedComment>
  <threadedComment ref="C13" dT="2025-05-14T13:07:21.19" personId="{00000000-0000-0000-0000-000000000000}" id="{F6A41874-1DF6-4D8A-8210-7DE1E9F9F886}">
    <text>ARB</text>
  </threadedComment>
  <threadedComment ref="O13" dT="2025-06-10T12:46:04.38" personId="{00000000-0000-0000-0000-000000000000}" id="{4A9E93E3-E4B1-481E-B00C-7EB9FB31C87D}">
    <text>MB</text>
  </threadedComment>
  <threadedComment ref="O14" dT="2025-06-10T12:46:12.24" personId="{00000000-0000-0000-0000-000000000000}" id="{1CEEAE77-320C-46F2-B5F6-CBD0BCCFBA74}">
    <text>MB</text>
  </threadedComment>
  <threadedComment ref="N15" dT="2025-05-14T10:14:08.25" personId="{00000000-0000-0000-0000-000000000000}" id="{9F11A741-117A-4DEA-855C-08359E269238}">
    <text>CBS</text>
  </threadedComment>
  <threadedComment ref="W15" dT="2025-05-14T10:14:55.55" personId="{00000000-0000-0000-0000-000000000000}" id="{74F77E57-1691-4B5C-9132-25600FA08262}">
    <text>VB</text>
  </threadedComment>
  <threadedComment ref="V16" dT="2025-05-14T10:15:22.47" personId="{00000000-0000-0000-0000-000000000000}" id="{C1491A58-7437-45F0-BAB2-417E15D36661}">
    <text>BCRL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S9" dT="2025-05-14T10:15:42.04" personId="{00000000-0000-0000-0000-000000000000}" id="{B35C2E9A-43D7-46D0-979C-0F273256D1AF}">
    <text>MYBAD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table" Target="../tables/table13.xml"/><Relationship Id="rId1" Type="http://schemas.openxmlformats.org/officeDocument/2006/relationships/vmlDrawing" Target="../drawings/vmlDrawing6.v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table" Target="../tables/table14.xml"/><Relationship Id="rId1" Type="http://schemas.openxmlformats.org/officeDocument/2006/relationships/vmlDrawing" Target="../drawings/vmlDrawing7.v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table" Target="../tables/table15.xml"/><Relationship Id="rId1" Type="http://schemas.openxmlformats.org/officeDocument/2006/relationships/vmlDrawing" Target="../drawings/vmlDrawing8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table" Target="../tables/table16.xml"/><Relationship Id="rId1" Type="http://schemas.openxmlformats.org/officeDocument/2006/relationships/vmlDrawing" Target="../drawings/vmlDrawing9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table" Target="../tables/table17.xml"/><Relationship Id="rId1" Type="http://schemas.openxmlformats.org/officeDocument/2006/relationships/vmlDrawing" Target="../drawings/vmlDrawing10.v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table" Target="../tables/table22.xml"/><Relationship Id="rId1" Type="http://schemas.openxmlformats.org/officeDocument/2006/relationships/vmlDrawing" Target="../drawings/vmlDrawing11.v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table" Target="../tables/table23.xml"/><Relationship Id="rId1" Type="http://schemas.openxmlformats.org/officeDocument/2006/relationships/vmlDrawing" Target="../drawings/vmlDrawing12.v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table" Target="../tables/table25.xml"/><Relationship Id="rId1" Type="http://schemas.openxmlformats.org/officeDocument/2006/relationships/vmlDrawing" Target="../drawings/vmlDrawing13.v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6" tint="0.39997558519241921"/>
  </sheetPr>
  <dimension ref="A1:AH16"/>
  <sheetViews>
    <sheetView showGridLines="0" topLeftCell="A6" zoomScaleNormal="100" workbookViewId="0">
      <selection activeCell="B12" sqref="B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9.33203125" customWidth="1"/>
    <col min="35" max="35" width="2.6640625" customWidth="1"/>
  </cols>
  <sheetData>
    <row r="1" spans="1:34" s="11" customFormat="1" ht="50.1" customHeight="1">
      <c r="A1" s="10"/>
      <c r="B1" s="20"/>
    </row>
    <row r="2" spans="1:34" s="11" customFormat="1" ht="100.35" customHeight="1">
      <c r="A2"/>
      <c r="B2" s="19" t="s">
        <v>0</v>
      </c>
    </row>
    <row r="3" spans="1:34" s="11" customFormat="1" ht="15" customHeight="1">
      <c r="A3"/>
      <c r="B3" s="7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1:34" ht="15" customHeight="1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6" spans="1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v>2025</v>
      </c>
    </row>
    <row r="7" spans="1:34" ht="30" customHeight="1">
      <c r="B7" s="4"/>
      <c r="C7" s="17" t="str">
        <f>TEXT(WEEKDAY(DATE(CalendarYear,1,1),1),"jjj")</f>
        <v>mer</v>
      </c>
      <c r="D7" s="17" t="str">
        <f>TEXT(WEEKDAY(DATE(CalendarYear,1,2),1),"jjj")</f>
        <v>jeu</v>
      </c>
      <c r="E7" s="17" t="str">
        <f>TEXT(WEEKDAY(DATE(CalendarYear,1,3),1),"jjj")</f>
        <v>ven</v>
      </c>
      <c r="F7" s="17" t="str">
        <f>TEXT(WEEKDAY(DATE(CalendarYear,1,4),1),"jjj")</f>
        <v>sam</v>
      </c>
      <c r="G7" s="17" t="str">
        <f>TEXT(WEEKDAY(DATE(CalendarYear,1,5),1),"jjj")</f>
        <v>dim</v>
      </c>
      <c r="H7" s="17" t="str">
        <f>TEXT(WEEKDAY(DATE(CalendarYear,1,6),1),"jjj")</f>
        <v>lun</v>
      </c>
      <c r="I7" s="17" t="str">
        <f>TEXT(WEEKDAY(DATE(CalendarYear,1,7),1),"jjj")</f>
        <v>mar</v>
      </c>
      <c r="J7" s="17" t="str">
        <f>TEXT(WEEKDAY(DATE(CalendarYear,1,8),1),"jjj")</f>
        <v>mer</v>
      </c>
      <c r="K7" s="17" t="str">
        <f>TEXT(WEEKDAY(DATE(CalendarYear,1,9),1),"jjj")</f>
        <v>jeu</v>
      </c>
      <c r="L7" s="17" t="str">
        <f>TEXT(WEEKDAY(DATE(CalendarYear,1,10),1),"jjj")</f>
        <v>ven</v>
      </c>
      <c r="M7" s="17" t="str">
        <f>TEXT(WEEKDAY(DATE(CalendarYear,1,11),1),"jjj")</f>
        <v>sam</v>
      </c>
      <c r="N7" s="17" t="str">
        <f>TEXT(WEEKDAY(DATE(CalendarYear,1,12),1),"jjj")</f>
        <v>dim</v>
      </c>
      <c r="O7" s="17" t="str">
        <f>TEXT(WEEKDAY(DATE(CalendarYear,1,13),1),"jjj")</f>
        <v>lun</v>
      </c>
      <c r="P7" s="17" t="str">
        <f>TEXT(WEEKDAY(DATE(CalendarYear,1,14),1),"jjj")</f>
        <v>mar</v>
      </c>
      <c r="Q7" s="17" t="str">
        <f>TEXT(WEEKDAY(DATE(CalendarYear,1,15),1),"jjj")</f>
        <v>mer</v>
      </c>
      <c r="R7" s="17" t="str">
        <f>TEXT(WEEKDAY(DATE(CalendarYear,1,16),1),"jjj")</f>
        <v>jeu</v>
      </c>
      <c r="S7" s="17" t="str">
        <f>TEXT(WEEKDAY(DATE(CalendarYear,1,17),1),"jjj")</f>
        <v>ven</v>
      </c>
      <c r="T7" s="17" t="str">
        <f>TEXT(WEEKDAY(DATE(CalendarYear,1,18),1),"jjj")</f>
        <v>sam</v>
      </c>
      <c r="U7" s="17" t="str">
        <f>TEXT(WEEKDAY(DATE(CalendarYear,1,19),1),"jjj")</f>
        <v>dim</v>
      </c>
      <c r="V7" s="17" t="str">
        <f>TEXT(WEEKDAY(DATE(CalendarYear,1,20),1),"jjj")</f>
        <v>lun</v>
      </c>
      <c r="W7" s="17" t="str">
        <f>TEXT(WEEKDAY(DATE(CalendarYear,1,21),1),"jjj")</f>
        <v>mar</v>
      </c>
      <c r="X7" s="17" t="str">
        <f>TEXT(WEEKDAY(DATE(CalendarYear,1,22),1),"jjj")</f>
        <v>mer</v>
      </c>
      <c r="Y7" s="17" t="str">
        <f>TEXT(WEEKDAY(DATE(CalendarYear,1,23),1),"jjj")</f>
        <v>jeu</v>
      </c>
      <c r="Z7" s="17" t="str">
        <f>TEXT(WEEKDAY(DATE(CalendarYear,1,24),1),"jjj")</f>
        <v>ven</v>
      </c>
      <c r="AA7" s="17" t="str">
        <f>TEXT(WEEKDAY(DATE(CalendarYear,1,25),1),"jjj")</f>
        <v>sam</v>
      </c>
      <c r="AB7" s="17" t="str">
        <f>TEXT(WEEKDAY(DATE(CalendarYear,1,26),1),"jjj")</f>
        <v>dim</v>
      </c>
      <c r="AC7" s="17" t="str">
        <f>TEXT(WEEKDAY(DATE(CalendarYear,1,27),1),"jjj")</f>
        <v>lun</v>
      </c>
      <c r="AD7" s="17" t="str">
        <f>TEXT(WEEKDAY(DATE(CalendarYear,1,28),1),"jjj")</f>
        <v>mar</v>
      </c>
      <c r="AE7" s="17" t="str">
        <f>TEXT(WEEKDAY(DATE(CalendarYear,1,29),1),"jjj")</f>
        <v>mer</v>
      </c>
      <c r="AF7" s="17" t="str">
        <f>TEXT(WEEKDAY(DATE(CalendarYear,1,30),1),"jjj")</f>
        <v>jeu</v>
      </c>
      <c r="AG7" s="17" t="str">
        <f>TEXT(WEEKDAY(DATE(CalendarYear,1,31),1),"jjj")</f>
        <v>ven</v>
      </c>
      <c r="AH7" s="4"/>
    </row>
    <row r="8" spans="1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1:34" ht="30" customHeight="1">
      <c r="B9" s="2" t="s">
        <v>39</v>
      </c>
      <c r="C9" s="1"/>
      <c r="D9" s="1"/>
      <c r="E9" s="15"/>
      <c r="F9" s="15"/>
      <c r="G9" s="15"/>
      <c r="H9" s="1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COUNTA(Janvier!$C9:$AG9)</f>
        <v>0</v>
      </c>
    </row>
    <row r="10" spans="1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COUNTA(Janvier!$C10:$AG10)</f>
        <v>0</v>
      </c>
    </row>
    <row r="11" spans="1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COUNTA(Janvier!$C11:$AG11)</f>
        <v>0</v>
      </c>
    </row>
    <row r="12" spans="1:34" ht="30" customHeight="1">
      <c r="B12" s="2" t="s">
        <v>42</v>
      </c>
      <c r="C12" s="29"/>
      <c r="D12" s="29"/>
      <c r="E12" s="29"/>
      <c r="F12" s="29"/>
      <c r="G12" s="28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3">
        <f>COUNTA(Janvier!$C12:$AG12)</f>
        <v>0</v>
      </c>
    </row>
    <row r="13" spans="1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COUNTA(Janvier!$C13:$AG13)</f>
        <v>0</v>
      </c>
    </row>
    <row r="14" spans="1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COUNTA(Janvier!$C14:$AG14)</f>
        <v>0</v>
      </c>
    </row>
    <row r="15" spans="1:34" ht="30" customHeight="1">
      <c r="B15" s="2" t="s">
        <v>45</v>
      </c>
      <c r="C15" s="29"/>
      <c r="D15" s="29"/>
      <c r="E15" s="29"/>
      <c r="F15" s="29"/>
      <c r="G15" s="28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>
        <f>COUNTA(Janvier!$C15:$AG15)</f>
        <v>0</v>
      </c>
    </row>
    <row r="16" spans="1:34" ht="30" customHeight="1">
      <c r="B16" s="2" t="s">
        <v>46</v>
      </c>
      <c r="C16" s="29"/>
      <c r="D16" s="29"/>
      <c r="E16" s="29"/>
      <c r="F16" s="29"/>
      <c r="G16" s="28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>
        <f>COUNTA(Janvier!$C16:$AG16)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81" priority="171" stopIfTrue="1">
      <formula>C9="C"</formula>
    </cfRule>
    <cfRule type="expression" dxfId="80" priority="172" stopIfTrue="1">
      <formula>C9="R"</formula>
    </cfRule>
  </conditionalFormatting>
  <conditionalFormatting sqref="AH9:AH16">
    <cfRule type="dataBar" priority="170">
      <dataBar>
        <cfvo type="num" val="0"/>
        <cfvo type="num" val="31"/>
        <color theme="4"/>
      </dataBar>
      <extLst>
        <ext xmlns:x14="http://schemas.microsoft.com/office/spreadsheetml/2009/9/main" uri="{B025F937-C7B1-47D3-B67F-A62EFF666E3E}">
          <x14:id>{ECCE2C3C-1B01-4700-B60E-DAAAB19A9C1A}</x14:id>
        </ext>
      </extLst>
    </cfRule>
  </conditionalFormatting>
  <pageMargins left="0.7" right="0.7" top="0.75" bottom="0.75" header="0.3" footer="0.3"/>
  <pageSetup paperSize="9" fitToHeight="0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CCE2C3C-1B01-4700-B60E-DAAAB19A9C1A}">
            <x14:dataBar minLength="0" maxLength="100" gradient="0">
              <x14:cfvo type="num">
                <xm:f>0</xm:f>
              </x14:cfvo>
              <x14:cfvo type="num">
                <xm:f>31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>
    <tabColor theme="7"/>
  </sheetPr>
  <dimension ref="B1:AH16"/>
  <sheetViews>
    <sheetView showGridLines="0" topLeftCell="A6" zoomScaleNormal="100" workbookViewId="0">
      <selection activeCell="B12" sqref="B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57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</f>
        <v>2025</v>
      </c>
    </row>
    <row r="7" spans="2:34" ht="30" customHeight="1">
      <c r="B7" s="4"/>
      <c r="C7" s="17" t="str">
        <f>TEXT(WEEKDAY(DATE(CalendarYear,10,1),1),"jjj")</f>
        <v>mer</v>
      </c>
      <c r="D7" s="17" t="str">
        <f>TEXT(WEEKDAY(DATE(CalendarYear,10,2),1),"jjj")</f>
        <v>jeu</v>
      </c>
      <c r="E7" s="17" t="str">
        <f>TEXT(WEEKDAY(DATE(CalendarYear,10,3),1),"jjj")</f>
        <v>ven</v>
      </c>
      <c r="F7" s="17" t="str">
        <f>TEXT(WEEKDAY(DATE(CalendarYear,10,4),1),"jjj")</f>
        <v>sam</v>
      </c>
      <c r="G7" s="17" t="str">
        <f>TEXT(WEEKDAY(DATE(CalendarYear,10,5),1),"jjj")</f>
        <v>dim</v>
      </c>
      <c r="H7" s="17" t="str">
        <f>TEXT(WEEKDAY(DATE(CalendarYear,10,6),1),"jjj")</f>
        <v>lun</v>
      </c>
      <c r="I7" s="17" t="str">
        <f>TEXT(WEEKDAY(DATE(CalendarYear,10,7),1),"jjj")</f>
        <v>mar</v>
      </c>
      <c r="J7" s="17" t="str">
        <f>TEXT(WEEKDAY(DATE(CalendarYear,10,8),1),"jjj")</f>
        <v>mer</v>
      </c>
      <c r="K7" s="17" t="str">
        <f>TEXT(WEEKDAY(DATE(CalendarYear,10,9),1),"jjj")</f>
        <v>jeu</v>
      </c>
      <c r="L7" s="17" t="str">
        <f>TEXT(WEEKDAY(DATE(CalendarYear,10,10),1),"jjj")</f>
        <v>ven</v>
      </c>
      <c r="M7" s="17" t="str">
        <f>TEXT(WEEKDAY(DATE(CalendarYear,10,11),1),"jjj")</f>
        <v>sam</v>
      </c>
      <c r="N7" s="17" t="str">
        <f>TEXT(WEEKDAY(DATE(CalendarYear,10,12),1),"jjj")</f>
        <v>dim</v>
      </c>
      <c r="O7" s="17" t="str">
        <f>TEXT(WEEKDAY(DATE(CalendarYear,10,13),1),"jjj")</f>
        <v>lun</v>
      </c>
      <c r="P7" s="17" t="str">
        <f>TEXT(WEEKDAY(DATE(CalendarYear,10,14),1),"jjj")</f>
        <v>mar</v>
      </c>
      <c r="Q7" s="17" t="str">
        <f>TEXT(WEEKDAY(DATE(CalendarYear,10,15),1),"jjj")</f>
        <v>mer</v>
      </c>
      <c r="R7" s="17" t="str">
        <f>TEXT(WEEKDAY(DATE(CalendarYear,10,16),1),"jjj")</f>
        <v>jeu</v>
      </c>
      <c r="S7" s="17" t="str">
        <f>TEXT(WEEKDAY(DATE(CalendarYear,10,17),1),"jjj")</f>
        <v>ven</v>
      </c>
      <c r="T7" s="17" t="str">
        <f>TEXT(WEEKDAY(DATE(CalendarYear,10,18),1),"jjj")</f>
        <v>sam</v>
      </c>
      <c r="U7" s="17" t="str">
        <f>TEXT(WEEKDAY(DATE(CalendarYear,10,19),1),"jjj")</f>
        <v>dim</v>
      </c>
      <c r="V7" s="17" t="str">
        <f>TEXT(WEEKDAY(DATE(CalendarYear,10,20),1),"jjj")</f>
        <v>lun</v>
      </c>
      <c r="W7" s="17" t="str">
        <f>TEXT(WEEKDAY(DATE(CalendarYear,10,21),1),"jjj")</f>
        <v>mar</v>
      </c>
      <c r="X7" s="17" t="str">
        <f>TEXT(WEEKDAY(DATE(CalendarYear,10,22),1),"jjj")</f>
        <v>mer</v>
      </c>
      <c r="Y7" s="17" t="str">
        <f>TEXT(WEEKDAY(DATE(CalendarYear,10,23),1),"jjj")</f>
        <v>jeu</v>
      </c>
      <c r="Z7" s="17" t="str">
        <f>TEXT(WEEKDAY(DATE(CalendarYear,10,24),1),"jjj")</f>
        <v>ven</v>
      </c>
      <c r="AA7" s="17" t="str">
        <f>TEXT(WEEKDAY(DATE(CalendarYear,10,25),1),"jjj")</f>
        <v>sam</v>
      </c>
      <c r="AB7" s="17" t="str">
        <f>TEXT(WEEKDAY(DATE(CalendarYear,10,26),1),"jjj")</f>
        <v>dim</v>
      </c>
      <c r="AC7" s="17" t="str">
        <f>TEXT(WEEKDAY(DATE(CalendarYear,10,27),1),"jjj")</f>
        <v>lun</v>
      </c>
      <c r="AD7" s="17" t="str">
        <f>TEXT(WEEKDAY(DATE(CalendarYear,10,28),1),"jjj")</f>
        <v>mar</v>
      </c>
      <c r="AE7" s="17" t="str">
        <f>TEXT(WEEKDAY(DATE(CalendarYear,10,29),1),"jjj")</f>
        <v>mer</v>
      </c>
      <c r="AF7" s="17" t="str">
        <f>TEXT(WEEKDAY(DATE(CalendarYear,10,30),1),"jjj")</f>
        <v>jeu</v>
      </c>
      <c r="AG7" s="17" t="str">
        <f>TEXT(WEEKDAY(DATE(CalendarYear,10,31),1),"jjj")</f>
        <v>ven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 t="s">
        <v>1</v>
      </c>
      <c r="T9" s="1" t="s">
        <v>1</v>
      </c>
      <c r="U9" s="1" t="s">
        <v>1</v>
      </c>
      <c r="V9" s="1" t="s">
        <v>1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COUNTA(Octobre[[#This Row],[1]:[31]])</f>
        <v>4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COUNTA(Octobre[[#This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COUNTA(Octobre[[#This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COUNTA(Octobre[[#This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COUNTA(Octobre[[#This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COUNTA(Octobre[[#This Row],[1]:[31]])</f>
        <v>0</v>
      </c>
    </row>
    <row r="15" spans="2:34" ht="30" customHeight="1">
      <c r="B15" s="2" t="s">
        <v>45</v>
      </c>
      <c r="AG15" s="29"/>
      <c r="AH15" s="29">
        <f>COUNTA(Octobre[[#This Row],[1]:[31]])</f>
        <v>0</v>
      </c>
    </row>
    <row r="16" spans="2:34" ht="30" customHeight="1">
      <c r="B16" s="35" t="s">
        <v>46</v>
      </c>
      <c r="AG16" s="29"/>
      <c r="AH16" s="29">
        <f>COUNTA(Octobre[[#This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61" priority="8" stopIfTrue="1">
      <formula>C9="C"</formula>
    </cfRule>
    <cfRule type="expression" dxfId="60" priority="9" stopIfTrue="1">
      <formula>C9="R"</formula>
    </cfRule>
  </conditionalFormatting>
  <conditionalFormatting sqref="AH9:AH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{F32A08EA-50E8-4B5F-AB1F-5A7739FBC16C}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2A08EA-50E8-4B5F-AB1F-5A7739FBC16C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>
    <tabColor theme="7"/>
  </sheetPr>
  <dimension ref="B1:AH16"/>
  <sheetViews>
    <sheetView showGridLines="0" topLeftCell="A2" zoomScaleNormal="100" workbookViewId="0">
      <selection activeCell="W9" sqref="W9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58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</f>
        <v>2025</v>
      </c>
    </row>
    <row r="7" spans="2:34" ht="30" customHeight="1">
      <c r="B7" s="4"/>
      <c r="C7" s="17" t="str">
        <f>TEXT(WEEKDAY(DATE(CalendarYear,11,1),1),"jjj")</f>
        <v>sam</v>
      </c>
      <c r="D7" s="17" t="str">
        <f>TEXT(WEEKDAY(DATE(CalendarYear,11,2),1),"jjj")</f>
        <v>dim</v>
      </c>
      <c r="E7" s="17" t="str">
        <f>TEXT(WEEKDAY(DATE(CalendarYear,11,3),1),"jjj")</f>
        <v>lun</v>
      </c>
      <c r="F7" s="17" t="str">
        <f>TEXT(WEEKDAY(DATE(CalendarYear,11,4),1),"jjj")</f>
        <v>mar</v>
      </c>
      <c r="G7" s="17" t="str">
        <f>TEXT(WEEKDAY(DATE(CalendarYear,11,5),1),"jjj")</f>
        <v>mer</v>
      </c>
      <c r="H7" s="17" t="str">
        <f>TEXT(WEEKDAY(DATE(CalendarYear,11,6),1),"jjj")</f>
        <v>jeu</v>
      </c>
      <c r="I7" s="17" t="str">
        <f>TEXT(WEEKDAY(DATE(CalendarYear,11,7),1),"jjj")</f>
        <v>ven</v>
      </c>
      <c r="J7" s="17" t="str">
        <f>TEXT(WEEKDAY(DATE(CalendarYear,11,8),1),"jjj")</f>
        <v>sam</v>
      </c>
      <c r="K7" s="17" t="str">
        <f>TEXT(WEEKDAY(DATE(CalendarYear,11,9),1),"jjj")</f>
        <v>dim</v>
      </c>
      <c r="L7" s="17" t="str">
        <f>TEXT(WEEKDAY(DATE(CalendarYear,11,10),1),"jjj")</f>
        <v>lun</v>
      </c>
      <c r="M7" s="17" t="str">
        <f>TEXT(WEEKDAY(DATE(CalendarYear,11,11),1),"jjj")</f>
        <v>mar</v>
      </c>
      <c r="N7" s="17" t="str">
        <f>TEXT(WEEKDAY(DATE(CalendarYear,11,12),1),"jjj")</f>
        <v>mer</v>
      </c>
      <c r="O7" s="17" t="str">
        <f>TEXT(WEEKDAY(DATE(CalendarYear,11,13),1),"jjj")</f>
        <v>jeu</v>
      </c>
      <c r="P7" s="17" t="str">
        <f>TEXT(WEEKDAY(DATE(CalendarYear,11,14),1),"jjj")</f>
        <v>ven</v>
      </c>
      <c r="Q7" s="17" t="str">
        <f>TEXT(WEEKDAY(DATE(CalendarYear,11,15),1),"jjj")</f>
        <v>sam</v>
      </c>
      <c r="R7" s="17" t="str">
        <f>TEXT(WEEKDAY(DATE(CalendarYear,11,16),1),"jjj")</f>
        <v>dim</v>
      </c>
      <c r="S7" s="17" t="str">
        <f>TEXT(WEEKDAY(DATE(CalendarYear,11,17),1),"jjj")</f>
        <v>lun</v>
      </c>
      <c r="T7" s="17" t="str">
        <f>TEXT(WEEKDAY(DATE(CalendarYear,11,18),1),"jjj")</f>
        <v>mar</v>
      </c>
      <c r="U7" s="17" t="str">
        <f>TEXT(WEEKDAY(DATE(CalendarYear,11,19),1),"jjj")</f>
        <v>mer</v>
      </c>
      <c r="V7" s="17" t="str">
        <f>TEXT(WEEKDAY(DATE(CalendarYear,11,20),1),"jjj")</f>
        <v>jeu</v>
      </c>
      <c r="W7" s="17" t="str">
        <f>TEXT(WEEKDAY(DATE(CalendarYear,11,21),1),"jjj")</f>
        <v>ven</v>
      </c>
      <c r="X7" s="17" t="str">
        <f>TEXT(WEEKDAY(DATE(CalendarYear,11,22),1),"jjj")</f>
        <v>sam</v>
      </c>
      <c r="Y7" s="17" t="str">
        <f>TEXT(WEEKDAY(DATE(CalendarYear,11,23),1),"jjj")</f>
        <v>dim</v>
      </c>
      <c r="Z7" s="17" t="str">
        <f>TEXT(WEEKDAY(DATE(CalendarYear,11,24),1),"jjj")</f>
        <v>lun</v>
      </c>
      <c r="AA7" s="17" t="str">
        <f>TEXT(WEEKDAY(DATE(CalendarYear,11,25),1),"jjj")</f>
        <v>mar</v>
      </c>
      <c r="AB7" s="17" t="str">
        <f>TEXT(WEEKDAY(DATE(CalendarYear,11,26),1),"jjj")</f>
        <v>mer</v>
      </c>
      <c r="AC7" s="17" t="str">
        <f>TEXT(WEEKDAY(DATE(CalendarYear,11,27),1),"jjj")</f>
        <v>jeu</v>
      </c>
      <c r="AD7" s="17" t="str">
        <f>TEXT(WEEKDAY(DATE(CalendarYear,11,28),1),"jjj")</f>
        <v>ven</v>
      </c>
      <c r="AE7" s="17" t="str">
        <f>TEXT(WEEKDAY(DATE(CalendarYear,11,29),1),"jjj")</f>
        <v>sam</v>
      </c>
      <c r="AF7" s="17" t="str">
        <f>TEXT(WEEKDAY(DATE(CalendarYear,11,30),1),"jjj")</f>
        <v>dim</v>
      </c>
      <c r="AG7" s="17"/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48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 t="s">
        <v>1</v>
      </c>
      <c r="AE9" s="1" t="s">
        <v>1</v>
      </c>
      <c r="AF9" s="1" t="s">
        <v>1</v>
      </c>
      <c r="AG9" s="1"/>
      <c r="AH9" s="3">
        <f>COUNTA(Novembre[[#This Row],[1]:[ ]])</f>
        <v>3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COUNTA(Novembre[[#This Row],[1]:[ 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COUNTA(Novembre[[#This Row],[1]:[ 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COUNTA(Novembre[[#This Row],[1]:[ 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COUNTA(Novembre[[#This Row],[1]:[ 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COUNTA(Novembre[[#This Row],[1]:[ ]])</f>
        <v>0</v>
      </c>
    </row>
    <row r="15" spans="2:34" ht="30" customHeight="1">
      <c r="B15" s="2" t="s">
        <v>45</v>
      </c>
      <c r="AG15" s="29"/>
      <c r="AH15" s="29">
        <f>COUNTA(Novembre[[#This Row],[1]:[ ]])</f>
        <v>0</v>
      </c>
    </row>
    <row r="16" spans="2:34" ht="30" customHeight="1">
      <c r="B16" s="35" t="s">
        <v>46</v>
      </c>
      <c r="AG16" s="29"/>
      <c r="AH16" s="29">
        <f>COUNTA(Novembre[[#This Row],[1]:[ 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59" priority="8" stopIfTrue="1">
      <formula>C9="C"</formula>
    </cfRule>
    <cfRule type="expression" dxfId="58" priority="9" stopIfTrue="1">
      <formula>C9="R"</formula>
    </cfRule>
  </conditionalFormatting>
  <conditionalFormatting sqref="AH9:AH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{27D92E49-5CF1-46DF-AD7A-3A5E92F274F3}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7D92E49-5CF1-46DF-AD7A-3A5E92F274F3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>
    <tabColor theme="6" tint="0.39997558519241921"/>
  </sheetPr>
  <dimension ref="B1:AH16"/>
  <sheetViews>
    <sheetView showGridLines="0" topLeftCell="A6" zoomScaleNormal="100" workbookViewId="0">
      <selection activeCell="L15" sqref="L15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19" t="s">
        <v>59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</f>
        <v>2025</v>
      </c>
    </row>
    <row r="7" spans="2:34" ht="30" customHeight="1">
      <c r="B7" s="4"/>
      <c r="C7" s="17" t="str">
        <f>TEXT(WEEKDAY(DATE(CalendarYear,12,1),1),"jjj")</f>
        <v>lun</v>
      </c>
      <c r="D7" s="17" t="str">
        <f>TEXT(WEEKDAY(DATE(CalendarYear,12,2),1),"jjj")</f>
        <v>mar</v>
      </c>
      <c r="E7" s="17" t="str">
        <f>TEXT(WEEKDAY(DATE(CalendarYear,12,3),1),"jjj")</f>
        <v>mer</v>
      </c>
      <c r="F7" s="17" t="str">
        <f>TEXT(WEEKDAY(DATE(CalendarYear,12,4),1),"jjj")</f>
        <v>jeu</v>
      </c>
      <c r="G7" s="17" t="str">
        <f>TEXT(WEEKDAY(DATE(CalendarYear,12,5),1),"jjj")</f>
        <v>ven</v>
      </c>
      <c r="H7" s="17" t="str">
        <f>TEXT(WEEKDAY(DATE(CalendarYear,12,6),1),"jjj")</f>
        <v>sam</v>
      </c>
      <c r="I7" s="17" t="str">
        <f>TEXT(WEEKDAY(DATE(CalendarYear,12,7),1),"jjj")</f>
        <v>dim</v>
      </c>
      <c r="J7" s="17" t="str">
        <f>TEXT(WEEKDAY(DATE(CalendarYear,12,8),1),"jjj")</f>
        <v>lun</v>
      </c>
      <c r="K7" s="17" t="str">
        <f>TEXT(WEEKDAY(DATE(CalendarYear,12,9),1),"jjj")</f>
        <v>mar</v>
      </c>
      <c r="L7" s="17" t="str">
        <f>TEXT(WEEKDAY(DATE(CalendarYear,12,10),1),"jjj")</f>
        <v>mer</v>
      </c>
      <c r="M7" s="17" t="str">
        <f>TEXT(WEEKDAY(DATE(CalendarYear,12,11),1),"jjj")</f>
        <v>jeu</v>
      </c>
      <c r="N7" s="17" t="str">
        <f>TEXT(WEEKDAY(DATE(CalendarYear,12,12),1),"jjj")</f>
        <v>ven</v>
      </c>
      <c r="O7" s="17" t="str">
        <f>TEXT(WEEKDAY(DATE(CalendarYear,12,13),1),"jjj")</f>
        <v>sam</v>
      </c>
      <c r="P7" s="17" t="str">
        <f>TEXT(WEEKDAY(DATE(CalendarYear,12,14),1),"jjj")</f>
        <v>dim</v>
      </c>
      <c r="Q7" s="17" t="str">
        <f>TEXT(WEEKDAY(DATE(CalendarYear,12,15),1),"jjj")</f>
        <v>lun</v>
      </c>
      <c r="R7" s="17" t="str">
        <f>TEXT(WEEKDAY(DATE(CalendarYear,12,16),1),"jjj")</f>
        <v>mar</v>
      </c>
      <c r="S7" s="17" t="str">
        <f>TEXT(WEEKDAY(DATE(CalendarYear,12,17),1),"jjj")</f>
        <v>mer</v>
      </c>
      <c r="T7" s="17" t="str">
        <f>TEXT(WEEKDAY(DATE(CalendarYear,12,18),1),"jjj")</f>
        <v>jeu</v>
      </c>
      <c r="U7" s="17" t="str">
        <f>TEXT(WEEKDAY(DATE(CalendarYear,12,19),1),"jjj")</f>
        <v>ven</v>
      </c>
      <c r="V7" s="17" t="str">
        <f>TEXT(WEEKDAY(DATE(CalendarYear,12,20),1),"jjj")</f>
        <v>sam</v>
      </c>
      <c r="W7" s="17" t="str">
        <f>TEXT(WEEKDAY(DATE(CalendarYear,12,21),1),"jjj")</f>
        <v>dim</v>
      </c>
      <c r="X7" s="17" t="str">
        <f>TEXT(WEEKDAY(DATE(CalendarYear,12,22),1),"jjj")</f>
        <v>lun</v>
      </c>
      <c r="Y7" s="17" t="str">
        <f>TEXT(WEEKDAY(DATE(CalendarYear,12,23),1),"jjj")</f>
        <v>mar</v>
      </c>
      <c r="Z7" s="17" t="str">
        <f>TEXT(WEEKDAY(DATE(CalendarYear,12,24),1),"jjj")</f>
        <v>mer</v>
      </c>
      <c r="AA7" s="17" t="str">
        <f>TEXT(WEEKDAY(DATE(CalendarYear,12,25),1),"jjj")</f>
        <v>jeu</v>
      </c>
      <c r="AB7" s="17" t="str">
        <f>TEXT(WEEKDAY(DATE(CalendarYear,12,26),1),"jjj")</f>
        <v>ven</v>
      </c>
      <c r="AC7" s="17" t="str">
        <f>TEXT(WEEKDAY(DATE(CalendarYear,12,27),1),"jjj")</f>
        <v>sam</v>
      </c>
      <c r="AD7" s="17" t="str">
        <f>TEXT(WEEKDAY(DATE(CalendarYear,12,28),1),"jjj")</f>
        <v>dim</v>
      </c>
      <c r="AE7" s="17" t="str">
        <f>TEXT(WEEKDAY(DATE(CalendarYear,12,29),1),"jjj")</f>
        <v>lun</v>
      </c>
      <c r="AF7" s="17" t="str">
        <f>TEXT(WEEKDAY(DATE(CalendarYear,12,30),1),"jjj")</f>
        <v>mar</v>
      </c>
      <c r="AG7" s="17" t="str">
        <f>TEXT(WEEKDAY(DATE(CalendarYear,12,31),1),"jjj")</f>
        <v>mer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 t="s">
        <v>1</v>
      </c>
      <c r="D9" s="1"/>
      <c r="E9" s="1"/>
      <c r="F9" s="1"/>
      <c r="G9" s="1" t="s">
        <v>1</v>
      </c>
      <c r="H9" s="1" t="s">
        <v>1</v>
      </c>
      <c r="I9" s="1" t="s">
        <v>1</v>
      </c>
      <c r="J9" s="1"/>
      <c r="K9" s="1"/>
      <c r="L9" s="1"/>
      <c r="M9" s="1"/>
      <c r="N9" s="1" t="s">
        <v>1</v>
      </c>
      <c r="O9" s="1" t="s">
        <v>1</v>
      </c>
      <c r="P9" s="1" t="s">
        <v>1</v>
      </c>
      <c r="Q9" s="1" t="s">
        <v>1</v>
      </c>
      <c r="R9" s="1"/>
      <c r="S9" s="1"/>
      <c r="T9" s="1" t="s">
        <v>1</v>
      </c>
      <c r="U9" s="1" t="s">
        <v>1</v>
      </c>
      <c r="V9" s="1" t="s">
        <v>1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COUNTA(Décembre[[#This Row],[1]:[31]])</f>
        <v>11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COUNTA(Décembre[[#This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COUNTA(Décembre[[#This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COUNTA(Décembre[[#This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 t="s">
        <v>1</v>
      </c>
      <c r="H13" s="1" t="s">
        <v>1</v>
      </c>
      <c r="I13" s="1" t="s">
        <v>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COUNTA(Décembre[[#This Row],[1]:[31]])</f>
        <v>3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 t="s">
        <v>1</v>
      </c>
      <c r="U14" s="1" t="s">
        <v>1</v>
      </c>
      <c r="V14" s="1" t="s">
        <v>1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COUNTA(Décembre[[#This Row],[1]:[31]])</f>
        <v>3</v>
      </c>
    </row>
    <row r="15" spans="2:34" ht="30" customHeight="1">
      <c r="B15" s="2" t="s">
        <v>45</v>
      </c>
      <c r="C15" s="1" t="s">
        <v>1</v>
      </c>
      <c r="D15" s="1" t="s">
        <v>1</v>
      </c>
      <c r="E15" s="1" t="s">
        <v>1</v>
      </c>
      <c r="F15" s="1" t="s">
        <v>1</v>
      </c>
      <c r="G15" s="1" t="s">
        <v>1</v>
      </c>
      <c r="H15" s="1" t="s">
        <v>1</v>
      </c>
      <c r="I15" s="1" t="s">
        <v>1</v>
      </c>
      <c r="J15" s="1" t="s">
        <v>1</v>
      </c>
      <c r="K15" s="1" t="s">
        <v>1</v>
      </c>
      <c r="L15" s="1" t="s">
        <v>60</v>
      </c>
      <c r="M15" s="1" t="s">
        <v>60</v>
      </c>
      <c r="N15" s="1" t="s">
        <v>60</v>
      </c>
      <c r="O15" s="1" t="s">
        <v>60</v>
      </c>
      <c r="P15" s="1" t="s">
        <v>60</v>
      </c>
      <c r="Q15" s="1" t="s">
        <v>60</v>
      </c>
      <c r="R15" s="1" t="s">
        <v>60</v>
      </c>
      <c r="S15" s="1" t="s">
        <v>60</v>
      </c>
      <c r="T15" s="1" t="s">
        <v>60</v>
      </c>
      <c r="U15" s="1" t="s">
        <v>60</v>
      </c>
      <c r="V15" s="1" t="s">
        <v>60</v>
      </c>
      <c r="W15" s="1" t="s">
        <v>60</v>
      </c>
      <c r="X15" s="1" t="s">
        <v>60</v>
      </c>
      <c r="Y15" s="1" t="s">
        <v>60</v>
      </c>
      <c r="Z15" s="1" t="s">
        <v>60</v>
      </c>
      <c r="AA15" s="1" t="s">
        <v>60</v>
      </c>
      <c r="AB15" s="1" t="s">
        <v>60</v>
      </c>
      <c r="AC15" s="1" t="s">
        <v>60</v>
      </c>
      <c r="AD15" s="1" t="s">
        <v>60</v>
      </c>
      <c r="AE15" s="1" t="s">
        <v>60</v>
      </c>
      <c r="AF15" s="1" t="s">
        <v>60</v>
      </c>
      <c r="AG15" s="1" t="s">
        <v>60</v>
      </c>
      <c r="AH15" s="29">
        <f>COUNTA(Décembre[[#This Row],[1]:[31]])</f>
        <v>31</v>
      </c>
    </row>
    <row r="16" spans="2:34" ht="30" customHeight="1">
      <c r="B16" s="35" t="s">
        <v>46</v>
      </c>
      <c r="AG16" s="29"/>
      <c r="AH16" s="29">
        <f>COUNTA(Décembre[[#This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F9 J9:M9 R9:AG9 C10:AG12 C13:F13 J13:AG13 C14:AG16">
    <cfRule type="expression" dxfId="57" priority="45" stopIfTrue="1">
      <formula>C9="C"</formula>
    </cfRule>
    <cfRule type="expression" dxfId="56" priority="46" stopIfTrue="1">
      <formula>C9="R"</formula>
    </cfRule>
  </conditionalFormatting>
  <conditionalFormatting sqref="G9:I9">
    <cfRule type="expression" dxfId="55" priority="13" stopIfTrue="1">
      <formula>G9="C"</formula>
    </cfRule>
    <cfRule type="expression" dxfId="54" priority="14" stopIfTrue="1">
      <formula>G9="R"</formula>
    </cfRule>
  </conditionalFormatting>
  <conditionalFormatting sqref="G13:I13">
    <cfRule type="expression" dxfId="53" priority="9" stopIfTrue="1">
      <formula>G13="C"</formula>
    </cfRule>
    <cfRule type="expression" dxfId="52" priority="10" stopIfTrue="1">
      <formula>G13="R"</formula>
    </cfRule>
  </conditionalFormatting>
  <conditionalFormatting sqref="N9">
    <cfRule type="expression" dxfId="51" priority="7" stopIfTrue="1">
      <formula>N9="C"</formula>
    </cfRule>
    <cfRule type="expression" dxfId="50" priority="8" stopIfTrue="1">
      <formula>N9="R"</formula>
    </cfRule>
  </conditionalFormatting>
  <conditionalFormatting sqref="O9">
    <cfRule type="expression" dxfId="49" priority="5" stopIfTrue="1">
      <formula>O9="C"</formula>
    </cfRule>
    <cfRule type="expression" dxfId="48" priority="6" stopIfTrue="1">
      <formula>O9="R"</formula>
    </cfRule>
  </conditionalFormatting>
  <conditionalFormatting sqref="P9">
    <cfRule type="expression" dxfId="47" priority="3" stopIfTrue="1">
      <formula>P9="C"</formula>
    </cfRule>
    <cfRule type="expression" dxfId="46" priority="4" stopIfTrue="1">
      <formula>P9="R"</formula>
    </cfRule>
  </conditionalFormatting>
  <conditionalFormatting sqref="Q9">
    <cfRule type="expression" dxfId="45" priority="1" stopIfTrue="1">
      <formula>Q9="C"</formula>
    </cfRule>
    <cfRule type="expression" dxfId="44" priority="2" stopIfTrue="1">
      <formula>Q9="R"</formula>
    </cfRule>
  </conditionalFormatting>
  <conditionalFormatting sqref="AH9:AH16">
    <cfRule type="dataBar" priority="44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{17586780-365B-4F4C-BBB4-F5991705D361}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7586780-365B-4F4C-BBB4-F5991705D36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2800-A7DC-44A7-B2A8-30116467CE7F}">
  <sheetPr>
    <tabColor theme="7"/>
  </sheetPr>
  <dimension ref="B1:AH16"/>
  <sheetViews>
    <sheetView showGridLines="0" topLeftCell="A4" zoomScaleNormal="100" workbookViewId="0">
      <selection activeCell="Y9" sqref="Y9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58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CalendarYear+1</f>
        <v>2026</v>
      </c>
    </row>
    <row r="7" spans="2:34" ht="30" customHeight="1">
      <c r="B7" s="4"/>
      <c r="C7" s="17" t="str">
        <f>TEXT(WEEKDAY(DATE(CalendarYear+1,1,1),1),"jjj")</f>
        <v>jeu</v>
      </c>
      <c r="D7" s="17" t="str">
        <f>TEXT(WEEKDAY(DATE(CalendarYear+1,1,2),1),"jjj")</f>
        <v>ven</v>
      </c>
      <c r="E7" s="17" t="str">
        <f>TEXT(WEEKDAY(DATE(CalendarYear+1,1,3),1),"jjj")</f>
        <v>sam</v>
      </c>
      <c r="F7" s="17" t="str">
        <f>TEXT(WEEKDAY(DATE(CalendarYear+1,2,1),1),"jjj")</f>
        <v>dim</v>
      </c>
      <c r="G7" s="17" t="str">
        <f>TEXT(WEEKDAY(DATE(CalendarYear+1,1,5),1),"jjj")</f>
        <v>lun</v>
      </c>
      <c r="H7" s="17" t="str">
        <f>TEXT(WEEKDAY(DATE(CalendarYear+1,1,6),1),"jjj")</f>
        <v>mar</v>
      </c>
      <c r="I7" s="17" t="str">
        <f>TEXT(WEEKDAY(DATE(CalendarYear+1,1,7),1),"jjj")</f>
        <v>mer</v>
      </c>
      <c r="J7" s="17" t="str">
        <f>TEXT(WEEKDAY(DATE(CalendarYear+1,1,1),1),"jjj")</f>
        <v>jeu</v>
      </c>
      <c r="K7" s="17" t="str">
        <f>TEXT(WEEKDAY(DATE(CalendarYear+1,1,2),1),"jjj")</f>
        <v>ven</v>
      </c>
      <c r="L7" s="17" t="str">
        <f>TEXT(WEEKDAY(DATE(CalendarYear+1,1,3),1),"jjj")</f>
        <v>sam</v>
      </c>
      <c r="M7" s="17" t="str">
        <f>TEXT(WEEKDAY(DATE(CalendarYear+1,2,1),1),"jjj")</f>
        <v>dim</v>
      </c>
      <c r="N7" s="17" t="str">
        <f>TEXT(WEEKDAY(DATE(CalendarYear+1,1,5),1),"jjj")</f>
        <v>lun</v>
      </c>
      <c r="O7" s="17" t="str">
        <f>TEXT(WEEKDAY(DATE(CalendarYear+1,1,6),1),"jjj")</f>
        <v>mar</v>
      </c>
      <c r="P7" s="17" t="str">
        <f>TEXT(WEEKDAY(DATE(CalendarYear+1,1,7),1),"jjj")</f>
        <v>mer</v>
      </c>
      <c r="Q7" s="17" t="str">
        <f>TEXT(WEEKDAY(DATE(CalendarYear+1,1,1),1),"jjj")</f>
        <v>jeu</v>
      </c>
      <c r="R7" s="17" t="str">
        <f>TEXT(WEEKDAY(DATE(CalendarYear+1,1,2),1),"jjj")</f>
        <v>ven</v>
      </c>
      <c r="S7" s="17" t="str">
        <f>TEXT(WEEKDAY(DATE(CalendarYear+1,1,3),1),"jjj")</f>
        <v>sam</v>
      </c>
      <c r="T7" s="17" t="str">
        <f>TEXT(WEEKDAY(DATE(CalendarYear+1,2,1),1),"jjj")</f>
        <v>dim</v>
      </c>
      <c r="U7" s="17" t="str">
        <f>TEXT(WEEKDAY(DATE(CalendarYear+1,1,5),1),"jjj")</f>
        <v>lun</v>
      </c>
      <c r="V7" s="17" t="str">
        <f>TEXT(WEEKDAY(DATE(CalendarYear+1,1,6),1),"jjj")</f>
        <v>mar</v>
      </c>
      <c r="W7" s="17" t="str">
        <f>TEXT(WEEKDAY(DATE(CalendarYear+1,1,7),1),"jjj")</f>
        <v>mer</v>
      </c>
      <c r="X7" s="17" t="str">
        <f>TEXT(WEEKDAY(DATE(CalendarYear+1,1,1),1),"jjj")</f>
        <v>jeu</v>
      </c>
      <c r="Y7" s="17" t="str">
        <f>TEXT(WEEKDAY(DATE(CalendarYear+1,1,2),1),"jjj")</f>
        <v>ven</v>
      </c>
      <c r="Z7" s="17" t="str">
        <f>TEXT(WEEKDAY(DATE(CalendarYear+1,1,3),1),"jjj")</f>
        <v>sam</v>
      </c>
      <c r="AA7" s="17" t="str">
        <f>TEXT(WEEKDAY(DATE(CalendarYear+1,2,1),1),"jjj")</f>
        <v>dim</v>
      </c>
      <c r="AB7" s="17" t="str">
        <f>TEXT(WEEKDAY(DATE(CalendarYear+1,1,5),1),"jjj")</f>
        <v>lun</v>
      </c>
      <c r="AC7" s="17" t="str">
        <f>TEXT(WEEKDAY(DATE(CalendarYear+1,1,6),1),"jjj")</f>
        <v>mar</v>
      </c>
      <c r="AD7" s="17" t="str">
        <f>TEXT(WEEKDAY(DATE(CalendarYear+1,1,7),1),"jjj")</f>
        <v>mer</v>
      </c>
      <c r="AE7" s="17" t="str">
        <f>TEXT(WEEKDAY(DATE(CalendarYear+1,1,1),1),"jjj")</f>
        <v>jeu</v>
      </c>
      <c r="AF7" s="17" t="str">
        <f>TEXT(WEEKDAY(DATE(CalendarYear+1,1,2),1),"jjj")</f>
        <v>ven</v>
      </c>
      <c r="AG7" s="17" t="str">
        <f>TEXT(WEEKDAY(DATE(CalendarYear+1,1,3),1),"jjj")</f>
        <v>sam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 t="s">
        <v>1</v>
      </c>
      <c r="L9" s="1" t="s">
        <v>1</v>
      </c>
      <c r="M9" s="1" t="s">
        <v>1</v>
      </c>
      <c r="N9" s="1" t="s">
        <v>1</v>
      </c>
      <c r="O9" s="1"/>
      <c r="P9" s="1"/>
      <c r="Q9" s="1"/>
      <c r="R9" s="1" t="s">
        <v>1</v>
      </c>
      <c r="S9" s="1" t="s">
        <v>1</v>
      </c>
      <c r="T9" s="1" t="s">
        <v>1</v>
      </c>
      <c r="U9" s="1" t="s">
        <v>1</v>
      </c>
      <c r="V9" s="1"/>
      <c r="W9" s="1"/>
      <c r="X9" s="1"/>
      <c r="Y9" s="1" t="s">
        <v>60</v>
      </c>
      <c r="Z9" s="1" t="s">
        <v>60</v>
      </c>
      <c r="AA9" s="1" t="s">
        <v>60</v>
      </c>
      <c r="AB9" s="1"/>
      <c r="AC9" s="1"/>
      <c r="AD9" s="1"/>
      <c r="AE9" s="1"/>
      <c r="AF9" s="1"/>
      <c r="AG9" s="1"/>
      <c r="AH9" s="3">
        <f>COUNTA(Novembre26[[#This Row],[1]:[31]])</f>
        <v>11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COUNTA(Novembre26[[#This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COUNTA(Novembre26[[#This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COUNTA(Novembre26[[#This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COUNTA(Novembre26[[#This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COUNTA(Novembre26[[#This Row],[1]:[31]])</f>
        <v>0</v>
      </c>
    </row>
    <row r="15" spans="2:34" ht="30" customHeight="1">
      <c r="B15" s="2" t="s">
        <v>45</v>
      </c>
      <c r="C15" t="s">
        <v>60</v>
      </c>
      <c r="D15" t="s">
        <v>60</v>
      </c>
      <c r="E15" t="s">
        <v>60</v>
      </c>
      <c r="F15" t="s">
        <v>60</v>
      </c>
      <c r="G15" t="s">
        <v>60</v>
      </c>
      <c r="H15" t="s">
        <v>60</v>
      </c>
      <c r="I15" t="s">
        <v>60</v>
      </c>
      <c r="J15" t="s">
        <v>60</v>
      </c>
      <c r="K15" t="s">
        <v>60</v>
      </c>
      <c r="L15" t="s">
        <v>60</v>
      </c>
      <c r="M15" t="s">
        <v>60</v>
      </c>
      <c r="N15" t="s">
        <v>60</v>
      </c>
      <c r="O15" t="s">
        <v>60</v>
      </c>
      <c r="P15" t="s">
        <v>60</v>
      </c>
      <c r="Q15" t="s">
        <v>60</v>
      </c>
      <c r="R15" t="s">
        <v>60</v>
      </c>
      <c r="S15" t="s">
        <v>60</v>
      </c>
      <c r="T15" t="s">
        <v>60</v>
      </c>
      <c r="U15" t="s">
        <v>60</v>
      </c>
      <c r="V15" t="s">
        <v>60</v>
      </c>
      <c r="W15" t="s">
        <v>60</v>
      </c>
      <c r="X15" t="s">
        <v>60</v>
      </c>
      <c r="Y15" t="s">
        <v>60</v>
      </c>
      <c r="Z15" t="s">
        <v>60</v>
      </c>
      <c r="AA15" t="s">
        <v>60</v>
      </c>
      <c r="AB15" t="s">
        <v>60</v>
      </c>
      <c r="AC15" t="s">
        <v>60</v>
      </c>
      <c r="AD15" t="s">
        <v>60</v>
      </c>
      <c r="AE15" t="s">
        <v>60</v>
      </c>
      <c r="AF15" t="s">
        <v>60</v>
      </c>
      <c r="AG15" t="s">
        <v>60</v>
      </c>
      <c r="AH15" s="29">
        <f>COUNTA(Novembre26[[#This Row],[1]:[31]])</f>
        <v>31</v>
      </c>
    </row>
    <row r="16" spans="2:34" ht="30" customHeight="1">
      <c r="B16" s="35" t="s">
        <v>46</v>
      </c>
      <c r="AG16" s="29"/>
      <c r="AH16" s="29">
        <f>COUNTA(Novembre26[[#This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C9 C10:AG16">
    <cfRule type="expression" dxfId="43" priority="4" stopIfTrue="1">
      <formula>C9="C"</formula>
    </cfRule>
    <cfRule type="expression" dxfId="42" priority="5" stopIfTrue="1">
      <formula>C9="R"</formula>
    </cfRule>
  </conditionalFormatting>
  <conditionalFormatting sqref="AD9:AG9">
    <cfRule type="expression" dxfId="41" priority="1" stopIfTrue="1">
      <formula>AD9="C"</formula>
    </cfRule>
    <cfRule type="expression" dxfId="40" priority="2" stopIfTrue="1">
      <formula>AD9="R"</formula>
    </cfRule>
  </conditionalFormatting>
  <conditionalFormatting sqref="AH9:AH16">
    <cfRule type="dataBar" priority="3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{1331624F-5C8F-4C96-8B86-1D8A209EF11D}</x14:id>
        </ext>
      </extLst>
    </cfRule>
  </conditionalFormatting>
  <pageMargins left="0.7" right="0.7" top="0.75" bottom="0.75" header="0.3" footer="0.3"/>
  <pageSetup paperSize="9" fitToHeight="0" orientation="portrait" verticalDpi="4294967293"/>
  <legacy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331624F-5C8F-4C96-8B86-1D8A209EF11D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82820-B1DB-439E-8338-D20D910F1634}">
  <sheetPr>
    <tabColor theme="7"/>
  </sheetPr>
  <dimension ref="B1:AE16"/>
  <sheetViews>
    <sheetView showGridLines="0" topLeftCell="A7" zoomScaleNormal="100" workbookViewId="0">
      <selection activeCell="V9" sqref="V9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0" width="4.6640625" customWidth="1"/>
    <col min="31" max="31" width="18" customWidth="1"/>
    <col min="32" max="32" width="2.6640625" customWidth="1"/>
  </cols>
  <sheetData>
    <row r="1" spans="2:31" ht="50.1" customHeight="1">
      <c r="B1" s="20"/>
    </row>
    <row r="2" spans="2:31" ht="100.35" customHeight="1">
      <c r="B2" s="24" t="s">
        <v>58</v>
      </c>
    </row>
    <row r="3" spans="2:31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2:31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1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4">
        <f>CalendarYear+1</f>
        <v>2026</v>
      </c>
    </row>
    <row r="7" spans="2:31" ht="30" customHeight="1">
      <c r="B7" s="4"/>
      <c r="C7" s="17" t="str">
        <f>TEXT(WEEKDAY(DATE(CalendarYear,11,2),1),"jjj")</f>
        <v>dim</v>
      </c>
      <c r="D7" s="17" t="str">
        <f>TEXT(WEEKDAY(DATE(CalendarYear,11,3),1),"jjj")</f>
        <v>lun</v>
      </c>
      <c r="E7" s="17" t="str">
        <f>TEXT(WEEKDAY(DATE(CalendarYear,11,4),1),"jjj")</f>
        <v>mar</v>
      </c>
      <c r="F7" s="17" t="str">
        <f>TEXT(WEEKDAY(DATE(CalendarYear,11,5),1),"jjj")</f>
        <v>mer</v>
      </c>
      <c r="G7" s="17" t="str">
        <f>TEXT(WEEKDAY(DATE(CalendarYear,11,6),1),"jjj")</f>
        <v>jeu</v>
      </c>
      <c r="H7" s="17" t="str">
        <f>TEXT(WEEKDAY(DATE(CalendarYear,11,7),1),"jjj")</f>
        <v>ven</v>
      </c>
      <c r="I7" s="17" t="str">
        <f>TEXT(WEEKDAY(DATE(CalendarYear,11,8),1),"jjj")</f>
        <v>sam</v>
      </c>
      <c r="J7" s="17" t="str">
        <f>TEXT(WEEKDAY(DATE(CalendarYear,11,2),1),"jjj")</f>
        <v>dim</v>
      </c>
      <c r="K7" s="17" t="str">
        <f>TEXT(WEEKDAY(DATE(CalendarYear,11,3),1),"jjj")</f>
        <v>lun</v>
      </c>
      <c r="L7" s="17" t="str">
        <f>TEXT(WEEKDAY(DATE(CalendarYear,11,4),1),"jjj")</f>
        <v>mar</v>
      </c>
      <c r="M7" s="17" t="str">
        <f>TEXT(WEEKDAY(DATE(CalendarYear,11,5),1),"jjj")</f>
        <v>mer</v>
      </c>
      <c r="N7" s="17" t="str">
        <f>TEXT(WEEKDAY(DATE(CalendarYear,11,6),1),"jjj")</f>
        <v>jeu</v>
      </c>
      <c r="O7" s="17" t="str">
        <f>TEXT(WEEKDAY(DATE(CalendarYear,11,7),1),"jjj")</f>
        <v>ven</v>
      </c>
      <c r="P7" s="17" t="str">
        <f>TEXT(WEEKDAY(DATE(CalendarYear,11,8),1),"jjj")</f>
        <v>sam</v>
      </c>
      <c r="Q7" s="17" t="str">
        <f>TEXT(WEEKDAY(DATE(CalendarYear,11,2),1),"jjj")</f>
        <v>dim</v>
      </c>
      <c r="R7" s="17" t="str">
        <f>TEXT(WEEKDAY(DATE(CalendarYear,11,3),1),"jjj")</f>
        <v>lun</v>
      </c>
      <c r="S7" s="17" t="str">
        <f>TEXT(WEEKDAY(DATE(CalendarYear,11,4),1),"jjj")</f>
        <v>mar</v>
      </c>
      <c r="T7" s="17" t="str">
        <f>TEXT(WEEKDAY(DATE(CalendarYear,11,5),1),"jjj")</f>
        <v>mer</v>
      </c>
      <c r="U7" s="17" t="str">
        <f>TEXT(WEEKDAY(DATE(CalendarYear,11,6),1),"jjj")</f>
        <v>jeu</v>
      </c>
      <c r="V7" s="17" t="str">
        <f>TEXT(WEEKDAY(DATE(CalendarYear,11,7),1),"jjj")</f>
        <v>ven</v>
      </c>
      <c r="W7" s="17" t="str">
        <f>TEXT(WEEKDAY(DATE(CalendarYear,11,8),1),"jjj")</f>
        <v>sam</v>
      </c>
      <c r="X7" s="17" t="str">
        <f>TEXT(WEEKDAY(DATE(CalendarYear,11,2),1),"jjj")</f>
        <v>dim</v>
      </c>
      <c r="Y7" s="17" t="str">
        <f>TEXT(WEEKDAY(DATE(CalendarYear,11,3),1),"jjj")</f>
        <v>lun</v>
      </c>
      <c r="Z7" s="17" t="str">
        <f>TEXT(WEEKDAY(DATE(CalendarYear,11,4),1),"jjj")</f>
        <v>mar</v>
      </c>
      <c r="AA7" s="17" t="str">
        <f>TEXT(WEEKDAY(DATE(CalendarYear,11,5),1),"jjj")</f>
        <v>mer</v>
      </c>
      <c r="AB7" s="17" t="str">
        <f>TEXT(WEEKDAY(DATE(CalendarYear,11,6),1),"jjj")</f>
        <v>jeu</v>
      </c>
      <c r="AC7" s="17" t="str">
        <f>TEXT(WEEKDAY(DATE(CalendarYear,11,7),1),"jjj")</f>
        <v>ven</v>
      </c>
      <c r="AD7" s="17" t="str">
        <f>TEXT(WEEKDAY(DATE(CalendarYear,11,8),1),"jjj")</f>
        <v>sam</v>
      </c>
      <c r="AE7" s="4"/>
    </row>
    <row r="8" spans="2:31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8" t="s">
        <v>38</v>
      </c>
    </row>
    <row r="9" spans="2:31" ht="30" customHeight="1">
      <c r="B9" s="2" t="s">
        <v>39</v>
      </c>
      <c r="C9" s="1"/>
      <c r="D9" s="1"/>
      <c r="E9" s="1"/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1" t="s">
        <v>1</v>
      </c>
      <c r="M9" s="1" t="s">
        <v>1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3">
        <v>4</v>
      </c>
    </row>
    <row r="10" spans="2:31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3">
        <v>0</v>
      </c>
    </row>
    <row r="11" spans="2:31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3">
        <v>0</v>
      </c>
    </row>
    <row r="12" spans="2:31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3">
        <v>0</v>
      </c>
    </row>
    <row r="13" spans="2:31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3">
        <v>0</v>
      </c>
    </row>
    <row r="14" spans="2:31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3">
        <v>0</v>
      </c>
    </row>
    <row r="15" spans="2:31" ht="30" customHeight="1">
      <c r="B15" s="2" t="s">
        <v>45</v>
      </c>
      <c r="AE15" s="29">
        <v>0</v>
      </c>
    </row>
    <row r="16" spans="2:31" ht="30" customHeight="1">
      <c r="B16" s="35" t="s">
        <v>46</v>
      </c>
      <c r="AE16" s="29">
        <v>0</v>
      </c>
    </row>
  </sheetData>
  <mergeCells count="6">
    <mergeCell ref="C6:AD6"/>
    <mergeCell ref="D4:E4"/>
    <mergeCell ref="G4:I4"/>
    <mergeCell ref="K4:L4"/>
    <mergeCell ref="O4:R4"/>
    <mergeCell ref="T4:W4"/>
  </mergeCells>
  <phoneticPr fontId="31" type="noConversion"/>
  <conditionalFormatting sqref="C9:F9">
    <cfRule type="expression" dxfId="39" priority="5" stopIfTrue="1">
      <formula>C9="C"</formula>
    </cfRule>
    <cfRule type="expression" dxfId="38" priority="6" stopIfTrue="1">
      <formula>C9="R"</formula>
    </cfRule>
  </conditionalFormatting>
  <conditionalFormatting sqref="G9:J9">
    <cfRule type="expression" dxfId="37" priority="3" stopIfTrue="1">
      <formula>G9="C"</formula>
    </cfRule>
    <cfRule type="expression" dxfId="36" priority="4" stopIfTrue="1">
      <formula>G9="R"</formula>
    </cfRule>
  </conditionalFormatting>
  <conditionalFormatting sqref="K9:N9">
    <cfRule type="expression" dxfId="35" priority="1" stopIfTrue="1">
      <formula>K9="C"</formula>
    </cfRule>
    <cfRule type="expression" dxfId="34" priority="2" stopIfTrue="1">
      <formula>K9="R"</formula>
    </cfRule>
  </conditionalFormatting>
  <conditionalFormatting sqref="O9:AD9 C10:AD16">
    <cfRule type="expression" dxfId="33" priority="8" stopIfTrue="1">
      <formula>C9="C"</formula>
    </cfRule>
    <cfRule type="expression" dxfId="32" priority="9" stopIfTrue="1">
      <formula>C9="R"</formula>
    </cfRule>
  </conditionalFormatting>
  <conditionalFormatting sqref="AE9:AE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{9F0D0083-CEC9-4D50-B457-53BC81185CB0}</x14:id>
        </ext>
      </extLst>
    </cfRule>
  </conditionalFormatting>
  <pageMargins left="0.7" right="0.7" top="0.75" bottom="0.75" header="0.3" footer="0.3"/>
  <pageSetup paperSize="9" fitToHeight="0" orientation="portrait" verticalDpi="4294967293"/>
  <legacy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F0D0083-CEC9-4D50-B457-53BC81185CB0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AE9:AE16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5DF15-248D-4DAD-A81F-0FAB903294C6}">
  <sheetPr>
    <tabColor theme="7"/>
  </sheetPr>
  <dimension ref="B1:AH16"/>
  <sheetViews>
    <sheetView showGridLines="0" topLeftCell="A4" zoomScaleNormal="100" workbookViewId="0">
      <selection activeCell="X10" sqref="X10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58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CalendarYear+1</f>
        <v>2026</v>
      </c>
    </row>
    <row r="7" spans="2:34" ht="30" customHeight="1">
      <c r="B7" s="4"/>
      <c r="C7" s="17" t="str">
        <f>TEXT(WEEKDAY(DATE(CalendarYear,11,2),1),"jjj")</f>
        <v>dim</v>
      </c>
      <c r="D7" s="17" t="str">
        <f>TEXT(WEEKDAY(DATE(CalendarYear,11,3),1),"jjj")</f>
        <v>lun</v>
      </c>
      <c r="E7" s="17" t="str">
        <f>TEXT(WEEKDAY(DATE(CalendarYear,11,4),1),"jjj")</f>
        <v>mar</v>
      </c>
      <c r="F7" s="17" t="str">
        <f>TEXT(WEEKDAY(DATE(CalendarYear,11,5),1),"jjj")</f>
        <v>mer</v>
      </c>
      <c r="G7" s="17" t="str">
        <f>TEXT(WEEKDAY(DATE(CalendarYear,11,6),1),"jjj")</f>
        <v>jeu</v>
      </c>
      <c r="H7" s="17" t="str">
        <f>TEXT(WEEKDAY(DATE(CalendarYear,11,7),1),"jjj")</f>
        <v>ven</v>
      </c>
      <c r="I7" s="17" t="str">
        <f>TEXT(WEEKDAY(DATE(CalendarYear,11,8),1),"jjj")</f>
        <v>sam</v>
      </c>
      <c r="J7" s="17" t="str">
        <f>TEXT(WEEKDAY(DATE(CalendarYear,11,2),1),"jjj")</f>
        <v>dim</v>
      </c>
      <c r="K7" s="17" t="str">
        <f>TEXT(WEEKDAY(DATE(CalendarYear,11,3),1),"jjj")</f>
        <v>lun</v>
      </c>
      <c r="L7" s="17" t="str">
        <f>TEXT(WEEKDAY(DATE(CalendarYear,11,4),1),"jjj")</f>
        <v>mar</v>
      </c>
      <c r="M7" s="17" t="str">
        <f>TEXT(WEEKDAY(DATE(CalendarYear,11,5),1),"jjj")</f>
        <v>mer</v>
      </c>
      <c r="N7" s="17" t="str">
        <f>TEXT(WEEKDAY(DATE(CalendarYear,11,6),1),"jjj")</f>
        <v>jeu</v>
      </c>
      <c r="O7" s="17" t="str">
        <f>TEXT(WEEKDAY(DATE(CalendarYear,11,7),1),"jjj")</f>
        <v>ven</v>
      </c>
      <c r="P7" s="17" t="str">
        <f>TEXT(WEEKDAY(DATE(CalendarYear,11,8),1),"jjj")</f>
        <v>sam</v>
      </c>
      <c r="Q7" s="17" t="str">
        <f>TEXT(WEEKDAY(DATE(CalendarYear,11,2),1),"jjj")</f>
        <v>dim</v>
      </c>
      <c r="R7" s="17" t="str">
        <f>TEXT(WEEKDAY(DATE(CalendarYear,11,3),1),"jjj")</f>
        <v>lun</v>
      </c>
      <c r="S7" s="17" t="str">
        <f>TEXT(WEEKDAY(DATE(CalendarYear,11,4),1),"jjj")</f>
        <v>mar</v>
      </c>
      <c r="T7" s="17" t="str">
        <f>TEXT(WEEKDAY(DATE(CalendarYear,11,5),1),"jjj")</f>
        <v>mer</v>
      </c>
      <c r="U7" s="17" t="str">
        <f>TEXT(WEEKDAY(DATE(CalendarYear,11,6),1),"jjj")</f>
        <v>jeu</v>
      </c>
      <c r="V7" s="17" t="str">
        <f>TEXT(WEEKDAY(DATE(CalendarYear,11,7),1),"jjj")</f>
        <v>ven</v>
      </c>
      <c r="W7" s="17" t="str">
        <f>TEXT(WEEKDAY(DATE(CalendarYear,11,8),1),"jjj")</f>
        <v>sam</v>
      </c>
      <c r="X7" s="17" t="str">
        <f>TEXT(WEEKDAY(DATE(CalendarYear,11,2),1),"jjj")</f>
        <v>dim</v>
      </c>
      <c r="Y7" s="17" t="str">
        <f>TEXT(WEEKDAY(DATE(CalendarYear,11,3),1),"jjj")</f>
        <v>lun</v>
      </c>
      <c r="Z7" s="17" t="str">
        <f>TEXT(WEEKDAY(DATE(CalendarYear,11,4),1),"jjj")</f>
        <v>mar</v>
      </c>
      <c r="AA7" s="17" t="str">
        <f>TEXT(WEEKDAY(DATE(CalendarYear,11,5),1),"jjj")</f>
        <v>mer</v>
      </c>
      <c r="AB7" s="17" t="str">
        <f>TEXT(WEEKDAY(DATE(CalendarYear,11,6),1),"jjj")</f>
        <v>jeu</v>
      </c>
      <c r="AC7" s="17" t="str">
        <f>TEXT(WEEKDAY(DATE(CalendarYear,11,7),1),"jjj")</f>
        <v>ven</v>
      </c>
      <c r="AD7" s="17" t="str">
        <f>TEXT(WEEKDAY(DATE(CalendarYear,11,8),1),"jjj")</f>
        <v>sam</v>
      </c>
      <c r="AE7" s="17" t="str">
        <f>TEXT(WEEKDAY(DATE(CalendarYear,11,2),1),"jjj")</f>
        <v>dim</v>
      </c>
      <c r="AF7" s="17" t="str">
        <f>TEXT(WEEKDAY(DATE(CalendarYear,11,3),1),"jjj")</f>
        <v>lun</v>
      </c>
      <c r="AG7" s="17" t="str">
        <f>TEXT(WEEKDAY(DATE(CalendarYear,11,4),1),"jjj")</f>
        <v>mar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 t="s">
        <v>1</v>
      </c>
      <c r="Q9" s="1" t="s">
        <v>1</v>
      </c>
      <c r="R9" s="1" t="s">
        <v>1</v>
      </c>
      <c r="S9" s="1"/>
      <c r="T9" s="1"/>
      <c r="U9" s="1"/>
      <c r="V9" s="1"/>
      <c r="W9" s="1"/>
      <c r="X9" s="1"/>
      <c r="Y9" s="1"/>
      <c r="Z9" s="1"/>
      <c r="AA9" s="1"/>
      <c r="AB9" s="1"/>
      <c r="AC9" s="1" t="s">
        <v>1</v>
      </c>
      <c r="AD9" s="1" t="s">
        <v>1</v>
      </c>
      <c r="AE9" s="1" t="s">
        <v>1</v>
      </c>
      <c r="AF9" s="1"/>
      <c r="AG9" s="1"/>
      <c r="AH9" s="3">
        <f>COUNTA(Novembre271011[[#This Row],[1]:[31]])</f>
        <v>6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COUNTA(Novembre271011[[#This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COUNTA(Novembre271011[[#This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COUNTA(Novembre271011[[#This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COUNTA(Novembre271011[[#This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COUNTA(Novembre271011[[#This Row],[1]:[31]])</f>
        <v>0</v>
      </c>
    </row>
    <row r="15" spans="2:34" ht="30" customHeight="1">
      <c r="B15" s="2" t="s">
        <v>45</v>
      </c>
      <c r="AG15" s="29"/>
      <c r="AH15" s="29">
        <f>COUNTA(Novembre271011[[#This Row],[1]:[31]])</f>
        <v>0</v>
      </c>
    </row>
    <row r="16" spans="2:34" ht="30" customHeight="1">
      <c r="B16" s="35" t="s">
        <v>46</v>
      </c>
      <c r="AG16" s="29"/>
      <c r="AH16" s="29">
        <f>COUNTA(Novembre271011[[#This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31" priority="2" stopIfTrue="1">
      <formula>C9="C"</formula>
    </cfRule>
    <cfRule type="expression" dxfId="30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{3AC3469A-8F02-463D-8F23-ABAB912F88B9}</x14:id>
        </ext>
      </extLst>
    </cfRule>
  </conditionalFormatting>
  <pageMargins left="0.7" right="0.7" top="0.75" bottom="0.75" header="0.3" footer="0.3"/>
  <pageSetup paperSize="9" fitToHeight="0" orientation="portrait" verticalDpi="4294967293"/>
  <legacy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C3469A-8F02-463D-8F23-ABAB912F88B9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D8899-3433-4106-A855-5E8BEA30841A}">
  <sheetPr>
    <tabColor theme="7"/>
  </sheetPr>
  <dimension ref="B1:AH16"/>
  <sheetViews>
    <sheetView showGridLines="0" topLeftCell="A7" zoomScaleNormal="100" workbookViewId="0">
      <selection activeCell="Y9" sqref="Y9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58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CalendarYear+1</f>
        <v>2026</v>
      </c>
    </row>
    <row r="7" spans="2:34" ht="30" customHeight="1">
      <c r="B7" s="4"/>
      <c r="C7" s="17" t="str">
        <f>TEXT(WEEKDAY(DATE(CalendarYear,11,5),1),"jjj")</f>
        <v>mer</v>
      </c>
      <c r="D7" s="17" t="str">
        <f>TEXT(WEEKDAY(DATE(CalendarYear,11,6),1),"jjj")</f>
        <v>jeu</v>
      </c>
      <c r="E7" s="17" t="str">
        <f>TEXT(WEEKDAY(DATE(CalendarYear,11,7),1),"jjj")</f>
        <v>ven</v>
      </c>
      <c r="F7" s="17" t="str">
        <f>TEXT(WEEKDAY(DATE(CalendarYear,11,8),1),"jjj")</f>
        <v>sam</v>
      </c>
      <c r="G7" s="17" t="str">
        <f>TEXT(WEEKDAY(DATE(CalendarYear,11,9),1),"jjj")</f>
        <v>dim</v>
      </c>
      <c r="H7" s="17" t="str">
        <f>TEXT(WEEKDAY(DATE(CalendarYear,11,10),1),"jjj")</f>
        <v>lun</v>
      </c>
      <c r="I7" s="17" t="str">
        <f>TEXT(WEEKDAY(DATE(CalendarYear,11,11),1),"jjj")</f>
        <v>mar</v>
      </c>
      <c r="J7" s="17" t="str">
        <f>TEXT(WEEKDAY(DATE(CalendarYear,11,5),1),"jjj")</f>
        <v>mer</v>
      </c>
      <c r="K7" s="17" t="str">
        <f>TEXT(WEEKDAY(DATE(CalendarYear,11,6),1),"jjj")</f>
        <v>jeu</v>
      </c>
      <c r="L7" s="17" t="str">
        <f>TEXT(WEEKDAY(DATE(CalendarYear,11,7),1),"jjj")</f>
        <v>ven</v>
      </c>
      <c r="M7" s="17" t="str">
        <f>TEXT(WEEKDAY(DATE(CalendarYear,11,8),1),"jjj")</f>
        <v>sam</v>
      </c>
      <c r="N7" s="17" t="str">
        <f>TEXT(WEEKDAY(DATE(CalendarYear,11,9),1),"jjj")</f>
        <v>dim</v>
      </c>
      <c r="O7" s="17" t="str">
        <f>TEXT(WEEKDAY(DATE(CalendarYear,11,10),1),"jjj")</f>
        <v>lun</v>
      </c>
      <c r="P7" s="17" t="str">
        <f>TEXT(WEEKDAY(DATE(CalendarYear,11,11),1),"jjj")</f>
        <v>mar</v>
      </c>
      <c r="Q7" s="17" t="str">
        <f>TEXT(WEEKDAY(DATE(CalendarYear,11,5),1),"jjj")</f>
        <v>mer</v>
      </c>
      <c r="R7" s="17" t="str">
        <f>TEXT(WEEKDAY(DATE(CalendarYear,11,6),1),"jjj")</f>
        <v>jeu</v>
      </c>
      <c r="S7" s="17" t="str">
        <f>TEXT(WEEKDAY(DATE(CalendarYear,11,7),1),"jjj")</f>
        <v>ven</v>
      </c>
      <c r="T7" s="17" t="str">
        <f>TEXT(WEEKDAY(DATE(CalendarYear,11,8),1),"jjj")</f>
        <v>sam</v>
      </c>
      <c r="U7" s="17" t="str">
        <f>TEXT(WEEKDAY(DATE(CalendarYear,11,9),1),"jjj")</f>
        <v>dim</v>
      </c>
      <c r="V7" s="17" t="str">
        <f>TEXT(WEEKDAY(DATE(CalendarYear,11,10),1),"jjj")</f>
        <v>lun</v>
      </c>
      <c r="W7" s="17" t="str">
        <f>TEXT(WEEKDAY(DATE(CalendarYear,11,11),1),"jjj")</f>
        <v>mar</v>
      </c>
      <c r="X7" s="17" t="str">
        <f>TEXT(WEEKDAY(DATE(CalendarYear,11,5),1),"jjj")</f>
        <v>mer</v>
      </c>
      <c r="Y7" s="17" t="str">
        <f>TEXT(WEEKDAY(DATE(CalendarYear,11,6),1),"jjj")</f>
        <v>jeu</v>
      </c>
      <c r="Z7" s="17" t="str">
        <f>TEXT(WEEKDAY(DATE(CalendarYear,11,7),1),"jjj")</f>
        <v>ven</v>
      </c>
      <c r="AA7" s="17" t="str">
        <f>TEXT(WEEKDAY(DATE(CalendarYear,11,8),1),"jjj")</f>
        <v>sam</v>
      </c>
      <c r="AB7" s="17" t="str">
        <f>TEXT(WEEKDAY(DATE(CalendarYear,11,9),1),"jjj")</f>
        <v>dim</v>
      </c>
      <c r="AC7" s="17" t="str">
        <f>TEXT(WEEKDAY(DATE(CalendarYear,11,10),1),"jjj")</f>
        <v>lun</v>
      </c>
      <c r="AD7" s="17" t="str">
        <f>TEXT(WEEKDAY(DATE(CalendarYear,11,11),1),"jjj")</f>
        <v>mar</v>
      </c>
      <c r="AE7" s="17" t="str">
        <f>TEXT(WEEKDAY(DATE(CalendarYear,11,5),1),"jjj")</f>
        <v>mer</v>
      </c>
      <c r="AF7" s="17" t="str">
        <f>TEXT(WEEKDAY(DATE(CalendarYear,11,6),1),"jjj")</f>
        <v>jeu</v>
      </c>
      <c r="AG7" s="17"/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48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COUNTA(Novembre2710[[#This Row],[1]:[ 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COUNTA(Novembre2710[[#This Row],[1]:[ 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COUNTA(Novembre2710[[#This Row],[1]:[ 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COUNTA(Novembre2710[[#This Row],[1]:[ 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 t="s">
        <v>1</v>
      </c>
      <c r="Z13" s="1" t="s">
        <v>1</v>
      </c>
      <c r="AA13" s="1" t="s">
        <v>1</v>
      </c>
      <c r="AB13" s="1" t="s">
        <v>1</v>
      </c>
      <c r="AC13" s="1" t="s">
        <v>1</v>
      </c>
      <c r="AD13" s="1"/>
      <c r="AE13" s="1"/>
      <c r="AF13" s="1"/>
      <c r="AG13" s="1"/>
      <c r="AH13" s="3">
        <f>COUNTA(Novembre2710[[#This Row],[1]:[ ]])</f>
        <v>5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COUNTA(Novembre2710[[#This Row],[1]:[ ]])</f>
        <v>0</v>
      </c>
    </row>
    <row r="15" spans="2:34" ht="30" customHeight="1">
      <c r="B15" s="2" t="s">
        <v>45</v>
      </c>
      <c r="AG15" s="29"/>
      <c r="AH15" s="29">
        <f>COUNTA(Novembre2710[[#This Row],[1]:[ ]])</f>
        <v>0</v>
      </c>
    </row>
    <row r="16" spans="2:34" ht="30" customHeight="1">
      <c r="B16" s="35" t="s">
        <v>46</v>
      </c>
      <c r="E16" t="s">
        <v>1</v>
      </c>
      <c r="F16" t="s">
        <v>1</v>
      </c>
      <c r="G16" t="s">
        <v>1</v>
      </c>
      <c r="AG16" s="29"/>
      <c r="AH16" s="29">
        <f>COUNTA(Novembre2710[[#This Row],[1]:[ ]])</f>
        <v>3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29" priority="2" stopIfTrue="1">
      <formula>C9="C"</formula>
    </cfRule>
    <cfRule type="expression" dxfId="28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{374919B2-2F26-48A9-B9E1-4E564A8959F1}</x14:id>
        </ext>
      </extLst>
    </cfRule>
  </conditionalFormatting>
  <pageMargins left="0.7" right="0.7" top="0.75" bottom="0.75" header="0.3" footer="0.3"/>
  <pageSetup paperSize="9" fitToHeight="0" orientation="portrait" verticalDpi="4294967293"/>
  <legacy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74919B2-2F26-48A9-B9E1-4E564A8959F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F35E2-5402-4B09-AC1C-965E26167001}">
  <sheetPr>
    <tabColor theme="7"/>
  </sheetPr>
  <dimension ref="B1:AH16"/>
  <sheetViews>
    <sheetView showGridLines="0" topLeftCell="A5" zoomScaleNormal="100" workbookViewId="0">
      <selection activeCell="T15" sqref="T15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58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CalendarYear+1</f>
        <v>2026</v>
      </c>
    </row>
    <row r="7" spans="2:34" ht="30" customHeight="1">
      <c r="B7" s="4"/>
      <c r="C7" s="17" t="str">
        <f>TEXT(WEEKDAY(DATE(CalendarYear,11,7),1),"jjj")</f>
        <v>ven</v>
      </c>
      <c r="D7" s="17" t="str">
        <f>TEXT(WEEKDAY(DATE(CalendarYear,11,8),1),"jjj")</f>
        <v>sam</v>
      </c>
      <c r="E7" s="17" t="str">
        <f>TEXT(WEEKDAY(DATE(CalendarYear,11,9),1),"jjj")</f>
        <v>dim</v>
      </c>
      <c r="F7" s="17" t="str">
        <f>TEXT(WEEKDAY(DATE(CalendarYear,11,10),1),"jjj")</f>
        <v>lun</v>
      </c>
      <c r="G7" s="17" t="str">
        <f>TEXT(WEEKDAY(DATE(CalendarYear,11,11),1),"jjj")</f>
        <v>mar</v>
      </c>
      <c r="H7" s="17" t="str">
        <f>TEXT(WEEKDAY(DATE(CalendarYear,11,12),1),"jjj")</f>
        <v>mer</v>
      </c>
      <c r="I7" s="17" t="str">
        <f>TEXT(WEEKDAY(DATE(CalendarYear,11,13),1),"jjj")</f>
        <v>jeu</v>
      </c>
      <c r="J7" s="17" t="str">
        <f>TEXT(WEEKDAY(DATE(CalendarYear,11,7),1),"jjj")</f>
        <v>ven</v>
      </c>
      <c r="K7" s="17" t="str">
        <f>TEXT(WEEKDAY(DATE(CalendarYear,11,8),1),"jjj")</f>
        <v>sam</v>
      </c>
      <c r="L7" s="17" t="str">
        <f>TEXT(WEEKDAY(DATE(CalendarYear,11,9),1),"jjj")</f>
        <v>dim</v>
      </c>
      <c r="M7" s="17" t="str">
        <f>TEXT(WEEKDAY(DATE(CalendarYear,11,10),1),"jjj")</f>
        <v>lun</v>
      </c>
      <c r="N7" s="17" t="str">
        <f>TEXT(WEEKDAY(DATE(CalendarYear,11,11),1),"jjj")</f>
        <v>mar</v>
      </c>
      <c r="O7" s="17" t="str">
        <f>TEXT(WEEKDAY(DATE(CalendarYear,11,12),1),"jjj")</f>
        <v>mer</v>
      </c>
      <c r="P7" s="17" t="str">
        <f>TEXT(WEEKDAY(DATE(CalendarYear,11,13),1),"jjj")</f>
        <v>jeu</v>
      </c>
      <c r="Q7" s="17" t="str">
        <f>TEXT(WEEKDAY(DATE(CalendarYear,11,7),1),"jjj")</f>
        <v>ven</v>
      </c>
      <c r="R7" s="17" t="str">
        <f>TEXT(WEEKDAY(DATE(CalendarYear,11,8),1),"jjj")</f>
        <v>sam</v>
      </c>
      <c r="S7" s="17" t="str">
        <f>TEXT(WEEKDAY(DATE(CalendarYear,11,9),1),"jjj")</f>
        <v>dim</v>
      </c>
      <c r="T7" s="17" t="str">
        <f>TEXT(WEEKDAY(DATE(CalendarYear,11,10),1),"jjj")</f>
        <v>lun</v>
      </c>
      <c r="U7" s="17" t="str">
        <f>TEXT(WEEKDAY(DATE(CalendarYear,11,11),1),"jjj")</f>
        <v>mar</v>
      </c>
      <c r="V7" s="17" t="str">
        <f>TEXT(WEEKDAY(DATE(CalendarYear,11,12),1),"jjj")</f>
        <v>mer</v>
      </c>
      <c r="W7" s="17" t="str">
        <f>TEXT(WEEKDAY(DATE(CalendarYear,11,13),1),"jjj")</f>
        <v>jeu</v>
      </c>
      <c r="X7" s="17" t="str">
        <f>TEXT(WEEKDAY(DATE(CalendarYear,11,7),1),"jjj")</f>
        <v>ven</v>
      </c>
      <c r="Y7" s="17" t="str">
        <f>TEXT(WEEKDAY(DATE(CalendarYear,11,8),1),"jjj")</f>
        <v>sam</v>
      </c>
      <c r="Z7" s="17" t="str">
        <f>TEXT(WEEKDAY(DATE(CalendarYear,11,9),1),"jjj")</f>
        <v>dim</v>
      </c>
      <c r="AA7" s="17" t="str">
        <f>TEXT(WEEKDAY(DATE(CalendarYear,11,10),1),"jjj")</f>
        <v>lun</v>
      </c>
      <c r="AB7" s="17" t="str">
        <f>TEXT(WEEKDAY(DATE(CalendarYear,11,11),1),"jjj")</f>
        <v>mar</v>
      </c>
      <c r="AC7" s="17" t="str">
        <f>TEXT(WEEKDAY(DATE(CalendarYear,11,12),1),"jjj")</f>
        <v>mer</v>
      </c>
      <c r="AD7" s="17" t="str">
        <f>TEXT(WEEKDAY(DATE(CalendarYear,11,13),1),"jjj")</f>
        <v>jeu</v>
      </c>
      <c r="AE7" s="17" t="str">
        <f>TEXT(WEEKDAY(DATE(CalendarYear,11,7),1),"jjj")</f>
        <v>ven</v>
      </c>
      <c r="AF7" s="17" t="str">
        <f>TEXT(WEEKDAY(DATE(CalendarYear,11,8),1),"jjj")</f>
        <v>sam</v>
      </c>
      <c r="AG7" s="17" t="str">
        <f>TEXT(WEEKDAY(DATE(CalendarYear,11,9),1),"jjj")</f>
        <v>dim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 t="s">
        <v>1</v>
      </c>
      <c r="Y9" s="1" t="s">
        <v>1</v>
      </c>
      <c r="Z9" s="1" t="s">
        <v>1</v>
      </c>
      <c r="AA9" s="1" t="s">
        <v>1</v>
      </c>
      <c r="AB9" s="1" t="s">
        <v>1</v>
      </c>
      <c r="AC9" s="1" t="s">
        <v>1</v>
      </c>
      <c r="AD9" s="1"/>
      <c r="AE9" s="1"/>
      <c r="AF9" s="1"/>
      <c r="AG9" s="1"/>
      <c r="AH9" s="3">
        <f>COUNTA(Novembre27[[#This Row],[1]:[31]])</f>
        <v>6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COUNTA(Novembre27[[#This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COUNTA(Novembre27[[#This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COUNTA(Novembre27[[#This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COUNTA(Novembre27[[#This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COUNTA(Novembre27[[#This Row],[1]:[31]])</f>
        <v>0</v>
      </c>
    </row>
    <row r="15" spans="2:34" ht="30" customHeight="1">
      <c r="B15" s="2" t="s">
        <v>45</v>
      </c>
      <c r="AG15" s="29"/>
      <c r="AH15" s="29">
        <f>COUNTA(Novembre27[[#This Row],[1]:[31]])</f>
        <v>0</v>
      </c>
    </row>
    <row r="16" spans="2:34" ht="30" customHeight="1">
      <c r="B16" s="35" t="s">
        <v>46</v>
      </c>
      <c r="AG16" s="29"/>
      <c r="AH16" s="29">
        <f>COUNTA(Novembre27[[#This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27" priority="2" stopIfTrue="1">
      <formula>C9="C"</formula>
    </cfRule>
    <cfRule type="expression" dxfId="26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{22E92746-A78F-45E7-8013-DA530CB87C46}</x14:id>
        </ext>
      </extLst>
    </cfRule>
  </conditionalFormatting>
  <pageMargins left="0.7" right="0.7" top="0.75" bottom="0.75" header="0.3" footer="0.3"/>
  <pageSetup paperSize="9" fitToHeight="0" orientation="portrait" verticalDpi="4294967293"/>
  <legacy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2E92746-A78F-45E7-8013-DA530CB87C46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CC6AA-E5BD-496D-9839-ABBBA8DDB9A7}">
  <sheetPr>
    <tabColor theme="7"/>
  </sheetPr>
  <dimension ref="B1:AH16"/>
  <sheetViews>
    <sheetView showGridLines="0" topLeftCell="A4" zoomScaleNormal="100" workbookViewId="0">
      <selection activeCell="AA11" sqref="AA11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58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CalendarYear+1</f>
        <v>2026</v>
      </c>
    </row>
    <row r="7" spans="2:34" ht="30" customHeight="1">
      <c r="B7" s="4"/>
      <c r="C7" s="17" t="str">
        <f>TEXT(WEEKDAY(DATE(CalendarYear,11,3),1),"jjj")</f>
        <v>lun</v>
      </c>
      <c r="D7" s="17" t="str">
        <f>TEXT(WEEKDAY(DATE(CalendarYear,11,4),1),"jjj")</f>
        <v>mar</v>
      </c>
      <c r="E7" s="17" t="str">
        <f>TEXT(WEEKDAY(DATE(CalendarYear,11,5),1),"jjj")</f>
        <v>mer</v>
      </c>
      <c r="F7" s="17" t="str">
        <f>TEXT(WEEKDAY(DATE(CalendarYear,11,6),1),"jjj")</f>
        <v>jeu</v>
      </c>
      <c r="G7" s="17" t="str">
        <f>TEXT(WEEKDAY(DATE(CalendarYear,11,7),1),"jjj")</f>
        <v>ven</v>
      </c>
      <c r="H7" s="17" t="str">
        <f>TEXT(WEEKDAY(DATE(CalendarYear,11,8),1),"jjj")</f>
        <v>sam</v>
      </c>
      <c r="I7" s="17" t="str">
        <f>TEXT(WEEKDAY(DATE(CalendarYear,11,9),1),"jjj")</f>
        <v>dim</v>
      </c>
      <c r="J7" s="17" t="str">
        <f>TEXT(WEEKDAY(DATE(CalendarYear,11,3),1),"jjj")</f>
        <v>lun</v>
      </c>
      <c r="K7" s="17" t="str">
        <f>TEXT(WEEKDAY(DATE(CalendarYear,11,4),1),"jjj")</f>
        <v>mar</v>
      </c>
      <c r="L7" s="17" t="str">
        <f>TEXT(WEEKDAY(DATE(CalendarYear,11,5),1),"jjj")</f>
        <v>mer</v>
      </c>
      <c r="M7" s="17" t="str">
        <f>TEXT(WEEKDAY(DATE(CalendarYear,11,6),1),"jjj")</f>
        <v>jeu</v>
      </c>
      <c r="N7" s="17" t="str">
        <f>TEXT(WEEKDAY(DATE(CalendarYear,11,7),1),"jjj")</f>
        <v>ven</v>
      </c>
      <c r="O7" s="17" t="str">
        <f>TEXT(WEEKDAY(DATE(CalendarYear,11,8),1),"jjj")</f>
        <v>sam</v>
      </c>
      <c r="P7" s="17" t="str">
        <f>TEXT(WEEKDAY(DATE(CalendarYear,11,9),1),"jjj")</f>
        <v>dim</v>
      </c>
      <c r="Q7" s="17" t="str">
        <f>TEXT(WEEKDAY(DATE(CalendarYear,11,3),1),"jjj")</f>
        <v>lun</v>
      </c>
      <c r="R7" s="17" t="str">
        <f>TEXT(WEEKDAY(DATE(CalendarYear,11,4),1),"jjj")</f>
        <v>mar</v>
      </c>
      <c r="S7" s="17" t="str">
        <f>TEXT(WEEKDAY(DATE(CalendarYear,11,5),1),"jjj")</f>
        <v>mer</v>
      </c>
      <c r="T7" s="17" t="str">
        <f>TEXT(WEEKDAY(DATE(CalendarYear,11,6),1),"jjj")</f>
        <v>jeu</v>
      </c>
      <c r="U7" s="17" t="str">
        <f>TEXT(WEEKDAY(DATE(CalendarYear,11,7),1),"jjj")</f>
        <v>ven</v>
      </c>
      <c r="V7" s="17" t="str">
        <f>TEXT(WEEKDAY(DATE(CalendarYear,11,8),1),"jjj")</f>
        <v>sam</v>
      </c>
      <c r="W7" s="17" t="str">
        <f>TEXT(WEEKDAY(DATE(CalendarYear,11,9),1),"jjj")</f>
        <v>dim</v>
      </c>
      <c r="X7" s="17" t="str">
        <f>TEXT(WEEKDAY(DATE(CalendarYear,11,3),1),"jjj")</f>
        <v>lun</v>
      </c>
      <c r="Y7" s="17" t="str">
        <f>TEXT(WEEKDAY(DATE(CalendarYear,11,4),1),"jjj")</f>
        <v>mar</v>
      </c>
      <c r="Z7" s="17" t="str">
        <f>TEXT(WEEKDAY(DATE(CalendarYear,11,5),1),"jjj")</f>
        <v>mer</v>
      </c>
      <c r="AA7" s="17" t="str">
        <f>TEXT(WEEKDAY(DATE(CalendarYear,11,6),1),"jjj")</f>
        <v>jeu</v>
      </c>
      <c r="AB7" s="17" t="str">
        <f>TEXT(WEEKDAY(DATE(CalendarYear,11,7),1),"jjj")</f>
        <v>ven</v>
      </c>
      <c r="AC7" s="17" t="str">
        <f>TEXT(WEEKDAY(DATE(CalendarYear,11,8),1),"jjj")</f>
        <v>sam</v>
      </c>
      <c r="AD7" s="17" t="str">
        <f>TEXT(WEEKDAY(DATE(CalendarYear,11,9),1),"jjj")</f>
        <v>dim</v>
      </c>
      <c r="AE7" s="17" t="str">
        <f>TEXT(WEEKDAY(DATE(CalendarYear,11,3),1),"jjj")</f>
        <v>lun</v>
      </c>
      <c r="AF7" s="17" t="str">
        <f>TEXT(WEEKDAY(DATE(CalendarYear,11,4),1),"jjj")</f>
        <v>mar</v>
      </c>
      <c r="AG7" s="17"/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48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 t="s">
        <v>60</v>
      </c>
      <c r="O9" s="1" t="s">
        <v>60</v>
      </c>
      <c r="P9" s="1" t="s">
        <v>60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 t="s">
        <v>60</v>
      </c>
      <c r="AC9" s="1" t="s">
        <v>60</v>
      </c>
      <c r="AD9" s="1" t="s">
        <v>60</v>
      </c>
      <c r="AE9" s="1"/>
      <c r="AF9" s="1"/>
      <c r="AG9" s="1"/>
      <c r="AH9" s="3">
        <f>COUNTA(Novembre2[[#This Row],[1]:[ ]])</f>
        <v>6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COUNTA(Novembre2[[#This Row],[1]:[ 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COUNTA(Novembre2[[#This Row],[1]:[ 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COUNTA(Novembre2[[#This Row],[1]:[ 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COUNTA(Novembre2[[#This Row],[1]:[ 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COUNTA(Novembre2[[#This Row],[1]:[ ]])</f>
        <v>0</v>
      </c>
    </row>
    <row r="15" spans="2:34" ht="30" customHeight="1">
      <c r="B15" s="2" t="s">
        <v>45</v>
      </c>
      <c r="AG15" s="29"/>
      <c r="AH15" s="29">
        <f>COUNTA(Novembre2[[#This Row],[1]:[ ]])</f>
        <v>0</v>
      </c>
    </row>
    <row r="16" spans="2:34" ht="30" customHeight="1">
      <c r="B16" s="35" t="s">
        <v>46</v>
      </c>
      <c r="AG16" s="29"/>
      <c r="AH16" s="29">
        <f>COUNTA(Novembre2[[#This Row],[1]:[ 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25" priority="2" stopIfTrue="1">
      <formula>C9="C"</formula>
    </cfRule>
    <cfRule type="expression" dxfId="24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{7C7489A6-DA30-43EE-A9B5-BE255536A72B}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C7489A6-DA30-43EE-A9B5-BE255536A72B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167ED-8B84-45D5-99E7-9B952F3D7A27}">
  <sheetPr>
    <tabColor theme="8"/>
  </sheetPr>
  <dimension ref="B1:AH16"/>
  <sheetViews>
    <sheetView showGridLines="0" topLeftCell="A4" zoomScaleNormal="100" workbookViewId="0">
      <selection activeCell="Y11" sqref="Y11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6" t="s">
        <v>54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</f>
        <v>2025</v>
      </c>
    </row>
    <row r="7" spans="2:34" ht="30" customHeight="1">
      <c r="B7" s="4"/>
      <c r="C7" s="17" t="str">
        <f>TEXT(WEEKDAY(DATE(CalendarYear,7,9),1),"jjj")</f>
        <v>mer</v>
      </c>
      <c r="D7" s="17" t="str">
        <f>TEXT(WEEKDAY(DATE(CalendarYear,7,10),1),"jjj")</f>
        <v>jeu</v>
      </c>
      <c r="E7" s="17" t="str">
        <f>TEXT(WEEKDAY(DATE(CalendarYear,7,11),1),"jjj")</f>
        <v>ven</v>
      </c>
      <c r="F7" s="17" t="str">
        <f>TEXT(WEEKDAY(DATE(CalendarYear,7,12),1),"jjj")</f>
        <v>sam</v>
      </c>
      <c r="G7" s="17" t="str">
        <f>TEXT(WEEKDAY(DATE(CalendarYear,7,13),1),"jjj")</f>
        <v>dim</v>
      </c>
      <c r="H7" s="17" t="str">
        <f>TEXT(WEEKDAY(DATE(CalendarYear,7,14),1),"jjj")</f>
        <v>lun</v>
      </c>
      <c r="I7" s="17" t="str">
        <f>TEXT(WEEKDAY(DATE(CalendarYear,7,15),1),"jjj")</f>
        <v>mar</v>
      </c>
      <c r="J7" s="17" t="str">
        <f>TEXT(WEEKDAY(DATE(CalendarYear,7,9),1),"jjj")</f>
        <v>mer</v>
      </c>
      <c r="K7" s="17" t="str">
        <f>TEXT(WEEKDAY(DATE(CalendarYear,7,10),1),"jjj")</f>
        <v>jeu</v>
      </c>
      <c r="L7" s="17" t="str">
        <f>TEXT(WEEKDAY(DATE(CalendarYear,7,11),1),"jjj")</f>
        <v>ven</v>
      </c>
      <c r="M7" s="17" t="str">
        <f>TEXT(WEEKDAY(DATE(CalendarYear,7,12),1),"jjj")</f>
        <v>sam</v>
      </c>
      <c r="N7" s="17" t="str">
        <f>TEXT(WEEKDAY(DATE(CalendarYear,7,13),1),"jjj")</f>
        <v>dim</v>
      </c>
      <c r="O7" s="17" t="str">
        <f>TEXT(WEEKDAY(DATE(CalendarYear,7,14),1),"jjj")</f>
        <v>lun</v>
      </c>
      <c r="P7" s="17" t="str">
        <f>TEXT(WEEKDAY(DATE(CalendarYear,7,15),1),"jjj")</f>
        <v>mar</v>
      </c>
      <c r="Q7" s="17" t="str">
        <f>TEXT(WEEKDAY(DATE(CalendarYear,7,9),1),"jjj")</f>
        <v>mer</v>
      </c>
      <c r="R7" s="17" t="str">
        <f>TEXT(WEEKDAY(DATE(CalendarYear,7,10),1),"jjj")</f>
        <v>jeu</v>
      </c>
      <c r="S7" s="17" t="str">
        <f>TEXT(WEEKDAY(DATE(CalendarYear,7,11),1),"jjj")</f>
        <v>ven</v>
      </c>
      <c r="T7" s="17" t="str">
        <f>TEXT(WEEKDAY(DATE(CalendarYear,7,12),1),"jjj")</f>
        <v>sam</v>
      </c>
      <c r="U7" s="17" t="str">
        <f>TEXT(WEEKDAY(DATE(CalendarYear,7,13),1),"jjj")</f>
        <v>dim</v>
      </c>
      <c r="V7" s="17" t="str">
        <f>TEXT(WEEKDAY(DATE(CalendarYear,7,14),1),"jjj")</f>
        <v>lun</v>
      </c>
      <c r="W7" s="17" t="str">
        <f>TEXT(WEEKDAY(DATE(CalendarYear,7,15),1),"jjj")</f>
        <v>mar</v>
      </c>
      <c r="X7" s="17" t="str">
        <f>TEXT(WEEKDAY(DATE(CalendarYear,7,9),1),"jjj")</f>
        <v>mer</v>
      </c>
      <c r="Y7" s="17" t="str">
        <f>TEXT(WEEKDAY(DATE(CalendarYear,7,10),1),"jjj")</f>
        <v>jeu</v>
      </c>
      <c r="Z7" s="17" t="str">
        <f>TEXT(WEEKDAY(DATE(CalendarYear,7,11),1),"jjj")</f>
        <v>ven</v>
      </c>
      <c r="AA7" s="17" t="str">
        <f>TEXT(WEEKDAY(DATE(CalendarYear,7,12),1),"jjj")</f>
        <v>sam</v>
      </c>
      <c r="AB7" s="17" t="str">
        <f>TEXT(WEEKDAY(DATE(CalendarYear,7,13),1),"jjj")</f>
        <v>dim</v>
      </c>
      <c r="AC7" s="17" t="str">
        <f>TEXT(WEEKDAY(DATE(CalendarYear,7,14),1),"jjj")</f>
        <v>lun</v>
      </c>
      <c r="AD7" s="17" t="str">
        <f>TEXT(WEEKDAY(DATE(CalendarYear,7,15),1),"jjj")</f>
        <v>mar</v>
      </c>
      <c r="AE7" s="17" t="str">
        <f>TEXT(WEEKDAY(DATE(CalendarYear,7,9),1),"jjj")</f>
        <v>mer</v>
      </c>
      <c r="AF7" s="17" t="str">
        <f>TEXT(WEEKDAY(DATE(CalendarYear,7,10),1),"jjj")</f>
        <v>jeu</v>
      </c>
      <c r="AG7" s="17" t="str">
        <f>TEXT(WEEKDAY(DATE(CalendarYear,7,11),1),"jjj")</f>
        <v>ven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COUNTA(Juillet12[[#This Row],[1]:[31]])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COUNTA(Juillet12[[#This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COUNTA(Juillet12[[#This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COUNTA(Juillet12[[#This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COUNTA(Juillet12[[#This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COUNTA(Juillet12[[#This Row],[1]:[31]])</f>
        <v>0</v>
      </c>
    </row>
    <row r="15" spans="2:34" ht="30" customHeight="1">
      <c r="B15" s="2" t="s">
        <v>45</v>
      </c>
      <c r="AG15" s="29"/>
      <c r="AH15" s="29">
        <f>COUNTA(Juillet12[[#This Row],[1]:[31]])</f>
        <v>0</v>
      </c>
    </row>
    <row r="16" spans="2:34" ht="30" customHeight="1">
      <c r="B16" s="35" t="s">
        <v>46</v>
      </c>
      <c r="AG16" s="29"/>
      <c r="AH16" s="29">
        <f>COUNTA(Juillet12[[#This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23" priority="2" stopIfTrue="1">
      <formula>C9="C"</formula>
    </cfRule>
    <cfRule type="expression" dxfId="22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{548598EB-8772-4307-B78D-5853DC9871CE}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48598EB-8772-4307-B78D-5853DC9871CE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6" tint="0.39997558519241921"/>
  </sheetPr>
  <dimension ref="A1:AH16"/>
  <sheetViews>
    <sheetView showGridLines="0" topLeftCell="A4" zoomScaleNormal="100" workbookViewId="0">
      <selection activeCell="B12" sqref="B12"/>
    </sheetView>
  </sheetViews>
  <sheetFormatPr baseColWidth="10" defaultColWidth="9.10937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1:34" ht="50.1" customHeight="1">
      <c r="B1" s="20"/>
    </row>
    <row r="2" spans="1:34" s="9" customFormat="1" ht="100.35" customHeight="1">
      <c r="A2"/>
      <c r="B2" s="19" t="s">
        <v>47</v>
      </c>
    </row>
    <row r="3" spans="1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1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1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</f>
        <v>2025</v>
      </c>
    </row>
    <row r="7" spans="1:34" ht="30" customHeight="1">
      <c r="B7" s="4"/>
      <c r="C7" s="17" t="str">
        <f>TEXT(WEEKDAY(DATE(CalendarYear,2,1),1),"jjj")</f>
        <v>sam</v>
      </c>
      <c r="D7" s="17" t="str">
        <f>TEXT(WEEKDAY(DATE(CalendarYear,2,2),1),"jjj")</f>
        <v>dim</v>
      </c>
      <c r="E7" s="17" t="str">
        <f>TEXT(WEEKDAY(DATE(CalendarYear,2,3),1),"jjj")</f>
        <v>lun</v>
      </c>
      <c r="F7" s="17" t="str">
        <f>TEXT(WEEKDAY(DATE(CalendarYear,2,4),1),"jjj")</f>
        <v>mar</v>
      </c>
      <c r="G7" s="17" t="str">
        <f>TEXT(WEEKDAY(DATE(CalendarYear,2,5),1),"jjj")</f>
        <v>mer</v>
      </c>
      <c r="H7" s="17" t="str">
        <f>TEXT(WEEKDAY(DATE(CalendarYear,2,6),1),"jjj")</f>
        <v>jeu</v>
      </c>
      <c r="I7" s="17" t="str">
        <f>TEXT(WEEKDAY(DATE(CalendarYear,2,7),1),"jjj")</f>
        <v>ven</v>
      </c>
      <c r="J7" s="17" t="str">
        <f>TEXT(WEEKDAY(DATE(CalendarYear,2,8),1),"jjj")</f>
        <v>sam</v>
      </c>
      <c r="K7" s="17" t="str">
        <f>TEXT(WEEKDAY(DATE(CalendarYear,2,9),1),"jjj")</f>
        <v>dim</v>
      </c>
      <c r="L7" s="17" t="str">
        <f>TEXT(WEEKDAY(DATE(CalendarYear,2,10),1),"jjj")</f>
        <v>lun</v>
      </c>
      <c r="M7" s="17" t="str">
        <f>TEXT(WEEKDAY(DATE(CalendarYear,2,11),1),"jjj")</f>
        <v>mar</v>
      </c>
      <c r="N7" s="17" t="str">
        <f>TEXT(WEEKDAY(DATE(CalendarYear,2,12),1),"jjj")</f>
        <v>mer</v>
      </c>
      <c r="O7" s="17" t="str">
        <f>TEXT(WEEKDAY(DATE(CalendarYear,2,13),1),"jjj")</f>
        <v>jeu</v>
      </c>
      <c r="P7" s="17" t="str">
        <f>TEXT(WEEKDAY(DATE(CalendarYear,2,14),1),"jjj")</f>
        <v>ven</v>
      </c>
      <c r="Q7" s="17" t="str">
        <f>TEXT(WEEKDAY(DATE(CalendarYear,2,15),1),"jjj")</f>
        <v>sam</v>
      </c>
      <c r="R7" s="17" t="str">
        <f>TEXT(WEEKDAY(DATE(CalendarYear,2,16),1),"jjj")</f>
        <v>dim</v>
      </c>
      <c r="S7" s="17" t="str">
        <f>TEXT(WEEKDAY(DATE(CalendarYear,2,17),1),"jjj")</f>
        <v>lun</v>
      </c>
      <c r="T7" s="17" t="str">
        <f>TEXT(WEEKDAY(DATE(CalendarYear,2,18),1),"jjj")</f>
        <v>mar</v>
      </c>
      <c r="U7" s="17" t="str">
        <f>TEXT(WEEKDAY(DATE(CalendarYear,2,19),1),"jjj")</f>
        <v>mer</v>
      </c>
      <c r="V7" s="17" t="str">
        <f>TEXT(WEEKDAY(DATE(CalendarYear,2,20),1),"jjj")</f>
        <v>jeu</v>
      </c>
      <c r="W7" s="17" t="str">
        <f>TEXT(WEEKDAY(DATE(CalendarYear,2,21),1),"jjj")</f>
        <v>ven</v>
      </c>
      <c r="X7" s="17" t="str">
        <f>TEXT(WEEKDAY(DATE(CalendarYear,2,22),1),"jjj")</f>
        <v>sam</v>
      </c>
      <c r="Y7" s="17" t="str">
        <f>TEXT(WEEKDAY(DATE(CalendarYear,2,23),1),"jjj")</f>
        <v>dim</v>
      </c>
      <c r="Z7" s="17" t="str">
        <f>TEXT(WEEKDAY(DATE(CalendarYear,2,24),1),"jjj")</f>
        <v>lun</v>
      </c>
      <c r="AA7" s="17" t="str">
        <f>TEXT(WEEKDAY(DATE(CalendarYear,2,25),1),"jjj")</f>
        <v>mar</v>
      </c>
      <c r="AB7" s="17" t="str">
        <f>TEXT(WEEKDAY(DATE(CalendarYear,2,26),1),"jjj")</f>
        <v>mer</v>
      </c>
      <c r="AC7" s="17" t="str">
        <f>TEXT(WEEKDAY(DATE(CalendarYear,2,27),1),"jjj")</f>
        <v>jeu</v>
      </c>
      <c r="AD7" s="17" t="str">
        <f>TEXT(WEEKDAY(DATE(CalendarYear,2,28),1),"jjj")</f>
        <v>ven</v>
      </c>
      <c r="AE7" s="17" t="str">
        <f>TEXT(WEEKDAY(DATE(CalendarYear,2,29),1),"jjj")</f>
        <v>sam</v>
      </c>
      <c r="AF7" s="17"/>
      <c r="AG7" s="17"/>
      <c r="AH7" s="4"/>
    </row>
    <row r="8" spans="1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48</v>
      </c>
      <c r="AG8" s="1" t="s">
        <v>49</v>
      </c>
      <c r="AH8" s="18" t="s">
        <v>38</v>
      </c>
    </row>
    <row r="9" spans="1:34" ht="30" customHeight="1">
      <c r="B9" s="2" t="s">
        <v>39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3">
        <f>COUNTA(Février[[#This Row],[1]:[29]])</f>
        <v>0</v>
      </c>
    </row>
    <row r="10" spans="1:34" ht="30" customHeight="1">
      <c r="B10" s="2" t="s">
        <v>40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3">
        <f>COUNTA(Février[[#This Row],[1]:[29]])</f>
        <v>0</v>
      </c>
    </row>
    <row r="11" spans="1:34" ht="30" customHeight="1">
      <c r="B11" s="2" t="s">
        <v>41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3">
        <f>COUNTA(Février[[#This Row],[1]:[29]])</f>
        <v>0</v>
      </c>
    </row>
    <row r="12" spans="1:34" ht="30" customHeight="1">
      <c r="B12" s="2" t="s">
        <v>42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">
        <f>COUNTA(Février[[#This Row],[1]:[29]])</f>
        <v>0</v>
      </c>
    </row>
    <row r="13" spans="1:34" ht="30" customHeight="1">
      <c r="B13" s="2" t="s">
        <v>43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3">
        <f>COUNTA(Février[[#This Row],[1]:[29]])</f>
        <v>0</v>
      </c>
    </row>
    <row r="14" spans="1:34" ht="30" customHeight="1">
      <c r="B14" s="2" t="s">
        <v>44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3">
        <f>COUNTA(Février[[#This Row],[1]:[29]])</f>
        <v>0</v>
      </c>
    </row>
    <row r="15" spans="1:34" ht="30" customHeight="1">
      <c r="B15" s="2" t="s">
        <v>45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29">
        <f>COUNTA(Février[[#This Row],[1]:[29]])</f>
        <v>0</v>
      </c>
    </row>
    <row r="16" spans="1:34" ht="30" customHeight="1">
      <c r="B16" s="2" t="s">
        <v>46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29">
        <f>COUNTA(Février[[#This Row],[1]:[29]])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79" priority="155" stopIfTrue="1">
      <formula>C9="C"</formula>
    </cfRule>
    <cfRule type="expression" dxfId="78" priority="156" stopIfTrue="1">
      <formula>C9="R"</formula>
    </cfRule>
  </conditionalFormatting>
  <conditionalFormatting sqref="AE7">
    <cfRule type="expression" dxfId="77" priority="1">
      <formula>MONTH(DATE(CalendarYear,2,29))&lt;&gt;2</formula>
    </cfRule>
  </conditionalFormatting>
  <conditionalFormatting sqref="AE8">
    <cfRule type="expression" dxfId="76" priority="17">
      <formula>MONTH(DATE(CalendarYear,2,29))&lt;&gt;2</formula>
    </cfRule>
  </conditionalFormatting>
  <conditionalFormatting sqref="AH9:AH16">
    <cfRule type="dataBar" priority="154">
      <dataBar>
        <cfvo type="min"/>
        <cfvo type="formula" val="DATEDIF(DATE(CalendarYear,2,1),DATE(CalendarYear,3,1),&quot;d&quot;)"/>
        <color theme="4"/>
      </dataBar>
      <extLst>
        <ext xmlns:x14="http://schemas.microsoft.com/office/spreadsheetml/2009/9/main" uri="{B025F937-C7B1-47D3-B67F-A62EFF666E3E}">
          <x14:id>{94738C71-AB78-40C3-A818-D083AE35CC38}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4738C71-AB78-40C3-A818-D083AE35CC38}">
            <x14:dataBar minLength="0" maxLength="100" gradient="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F3BE-ACDB-4078-92FA-0B19DCEFA4F2}">
  <sheetPr>
    <tabColor theme="8"/>
  </sheetPr>
  <dimension ref="B1:AH16"/>
  <sheetViews>
    <sheetView showGridLines="0" zoomScaleNormal="100" workbookViewId="0">
      <selection activeCell="AD10" sqref="AD10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5" t="s">
        <v>55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</f>
        <v>2025</v>
      </c>
    </row>
    <row r="7" spans="2:34" ht="30" customHeight="1">
      <c r="B7" s="4"/>
      <c r="C7" s="17" t="str">
        <f>TEXT(WEEKDAY(DATE(CalendarYear,8,2),1),"jjj")</f>
        <v>sam</v>
      </c>
      <c r="D7" s="17" t="str">
        <f>TEXT(WEEKDAY(DATE(CalendarYear,8,3),1),"jjj")</f>
        <v>dim</v>
      </c>
      <c r="E7" s="17" t="str">
        <f>TEXT(WEEKDAY(DATE(CalendarYear,8,4),1),"jjj")</f>
        <v>lun</v>
      </c>
      <c r="F7" s="17" t="str">
        <f>TEXT(WEEKDAY(DATE(CalendarYear,8,5),1),"jjj")</f>
        <v>mar</v>
      </c>
      <c r="G7" s="17" t="str">
        <f>TEXT(WEEKDAY(DATE(CalendarYear,8,6),1),"jjj")</f>
        <v>mer</v>
      </c>
      <c r="H7" s="17" t="str">
        <f>TEXT(WEEKDAY(DATE(CalendarYear,8,7),1),"jjj")</f>
        <v>jeu</v>
      </c>
      <c r="I7" s="17" t="str">
        <f>TEXT(WEEKDAY(DATE(CalendarYear,8,8),1),"jjj")</f>
        <v>ven</v>
      </c>
      <c r="J7" s="17" t="str">
        <f>TEXT(WEEKDAY(DATE(CalendarYear,8,9),1),"jjj")</f>
        <v>sam</v>
      </c>
      <c r="K7" s="17" t="str">
        <f>TEXT(WEEKDAY(DATE(CalendarYear,8,10),1),"jjj")</f>
        <v>dim</v>
      </c>
      <c r="L7" s="17" t="str">
        <f>TEXT(WEEKDAY(DATE(CalendarYear,8,11),1),"jjj")</f>
        <v>lun</v>
      </c>
      <c r="M7" s="17" t="str">
        <f>TEXT(WEEKDAY(DATE(CalendarYear,8,12),1),"jjj")</f>
        <v>mar</v>
      </c>
      <c r="N7" s="17" t="str">
        <f>TEXT(WEEKDAY(DATE(CalendarYear,8,13),1),"jjj")</f>
        <v>mer</v>
      </c>
      <c r="O7" s="17" t="str">
        <f>TEXT(WEEKDAY(DATE(CalendarYear,8,14),1),"jjj")</f>
        <v>jeu</v>
      </c>
      <c r="P7" s="17" t="str">
        <f>TEXT(WEEKDAY(DATE(CalendarYear,8,15),1),"jjj")</f>
        <v>ven</v>
      </c>
      <c r="Q7" s="17" t="str">
        <f>TEXT(WEEKDAY(DATE(CalendarYear,8,16),1),"jjj")</f>
        <v>sam</v>
      </c>
      <c r="R7" s="17" t="str">
        <f>TEXT(WEEKDAY(DATE(CalendarYear,8,17),1),"jjj")</f>
        <v>dim</v>
      </c>
      <c r="S7" s="17" t="str">
        <f>TEXT(WEEKDAY(DATE(CalendarYear,8,18),1),"jjj")</f>
        <v>lun</v>
      </c>
      <c r="T7" s="17" t="str">
        <f>TEXT(WEEKDAY(DATE(CalendarYear,8,19),1),"jjj")</f>
        <v>mar</v>
      </c>
      <c r="U7" s="17" t="str">
        <f>TEXT(WEEKDAY(DATE(CalendarYear,8,20),1),"jjj")</f>
        <v>mer</v>
      </c>
      <c r="V7" s="17" t="str">
        <f>TEXT(WEEKDAY(DATE(CalendarYear,8,21),1),"jjj")</f>
        <v>jeu</v>
      </c>
      <c r="W7" s="17" t="str">
        <f>TEXT(WEEKDAY(DATE(CalendarYear,8,22),1),"jjj")</f>
        <v>ven</v>
      </c>
      <c r="X7" s="17" t="str">
        <f>TEXT(WEEKDAY(DATE(CalendarYear,8,23),1),"jjj")</f>
        <v>sam</v>
      </c>
      <c r="Y7" s="17" t="str">
        <f>TEXT(WEEKDAY(DATE(CalendarYear,8,24),1),"jjj")</f>
        <v>dim</v>
      </c>
      <c r="Z7" s="17" t="str">
        <f>TEXT(WEEKDAY(DATE(CalendarYear,8,25),1),"jjj")</f>
        <v>lun</v>
      </c>
      <c r="AA7" s="17" t="str">
        <f>TEXT(WEEKDAY(DATE(CalendarYear,8,26),1),"jjj")</f>
        <v>mar</v>
      </c>
      <c r="AB7" s="17" t="str">
        <f>TEXT(WEEKDAY(DATE(CalendarYear,8,27),1),"jjj")</f>
        <v>mer</v>
      </c>
      <c r="AC7" s="17" t="str">
        <f>TEXT(WEEKDAY(DATE(CalendarYear,8,28),1),"jjj")</f>
        <v>jeu</v>
      </c>
      <c r="AD7" s="17" t="str">
        <f>TEXT(WEEKDAY(DATE(CalendarYear,8,29),1),"jjj")</f>
        <v>ven</v>
      </c>
      <c r="AE7" s="17" t="str">
        <f>TEXT(WEEKDAY(DATE(CalendarYear,8,30),1),"jjj")</f>
        <v>sam</v>
      </c>
      <c r="AF7" s="17" t="str">
        <f>TEXT(WEEKDAY(DATE(CalendarYear,8,31),1),"jjj")</f>
        <v>dim</v>
      </c>
      <c r="AG7" s="17" t="str">
        <f>TEXT(WEEKDAY(DATE(CalendarYear,8,11),1),"jjj")</f>
        <v>lun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COUNTA(Août14[[#This Row],[1]:[31]])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COUNTA(Août14[[#This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COUNTA(Août14[[#This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COUNTA(Août14[[#This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COUNTA(Août14[[#This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COUNTA(Août14[[#This Row],[1]:[31]])</f>
        <v>0</v>
      </c>
    </row>
    <row r="15" spans="2:34" ht="30" customHeight="1">
      <c r="B15" s="2" t="s">
        <v>45</v>
      </c>
      <c r="AG15" s="29"/>
      <c r="AH15" s="29">
        <f>COUNTA(Août14[[#This Row],[1]:[31]])</f>
        <v>0</v>
      </c>
    </row>
    <row r="16" spans="2:34" ht="30" customHeight="1">
      <c r="B16" s="35" t="s">
        <v>46</v>
      </c>
      <c r="AG16" s="29"/>
      <c r="AH16" s="29">
        <f>COUNTA(Août14[[#This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21" priority="2" stopIfTrue="1">
      <formula>C9="C"</formula>
    </cfRule>
    <cfRule type="expression" dxfId="20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{6D551A4A-886E-4D57-9EC4-6243A853FF92}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D551A4A-886E-4D57-9EC4-6243A853FF92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A8A79-0B4E-4F24-BB06-6A1BFF085E88}">
  <sheetPr>
    <tabColor theme="7"/>
  </sheetPr>
  <dimension ref="B1:AH16"/>
  <sheetViews>
    <sheetView showGridLines="0" topLeftCell="A4" zoomScaleNormal="100" workbookViewId="0">
      <selection activeCell="AA11" sqref="AA11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56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</f>
        <v>2025</v>
      </c>
    </row>
    <row r="7" spans="2:34" ht="30" customHeight="1">
      <c r="B7" s="4"/>
      <c r="C7" s="17" t="str">
        <f>TEXT(WEEKDAY(DATE(CalendarYear,9,2),1),"jjj")</f>
        <v>mar</v>
      </c>
      <c r="D7" s="17" t="str">
        <f>TEXT(WEEKDAY(DATE(CalendarYear,9,3),1),"jjj")</f>
        <v>mer</v>
      </c>
      <c r="E7" s="17" t="str">
        <f>TEXT(WEEKDAY(DATE(CalendarYear,9,4),1),"jjj")</f>
        <v>jeu</v>
      </c>
      <c r="F7" s="17" t="str">
        <f>TEXT(WEEKDAY(DATE(CalendarYear,9,5),1),"jjj")</f>
        <v>ven</v>
      </c>
      <c r="G7" s="17" t="str">
        <f>TEXT(WEEKDAY(DATE(CalendarYear,9,6),1),"jjj")</f>
        <v>sam</v>
      </c>
      <c r="H7" s="17" t="str">
        <f>TEXT(WEEKDAY(DATE(CalendarYear,9,7),1),"jjj")</f>
        <v>dim</v>
      </c>
      <c r="I7" s="17" t="str">
        <f>TEXT(WEEKDAY(DATE(CalendarYear,9,8),1),"jjj")</f>
        <v>lun</v>
      </c>
      <c r="J7" s="17" t="str">
        <f>TEXT(WEEKDAY(DATE(CalendarYear,9,9),1),"jjj")</f>
        <v>mar</v>
      </c>
      <c r="K7" s="17" t="str">
        <f>TEXT(WEEKDAY(DATE(CalendarYear,9,10),1),"jjj")</f>
        <v>mer</v>
      </c>
      <c r="L7" s="17" t="str">
        <f>TEXT(WEEKDAY(DATE(CalendarYear,9,11),1),"jjj")</f>
        <v>jeu</v>
      </c>
      <c r="M7" s="17" t="str">
        <f>TEXT(WEEKDAY(DATE(CalendarYear,9,12),1),"jjj")</f>
        <v>ven</v>
      </c>
      <c r="N7" s="17" t="str">
        <f>TEXT(WEEKDAY(DATE(CalendarYear,9,13),1),"jjj")</f>
        <v>sam</v>
      </c>
      <c r="O7" s="17" t="str">
        <f>TEXT(WEEKDAY(DATE(CalendarYear,9,14),1),"jjj")</f>
        <v>dim</v>
      </c>
      <c r="P7" s="17" t="str">
        <f>TEXT(WEEKDAY(DATE(CalendarYear,9,15),1),"jjj")</f>
        <v>lun</v>
      </c>
      <c r="Q7" s="17" t="str">
        <f>TEXT(WEEKDAY(DATE(CalendarYear,9,16),1),"jjj")</f>
        <v>mar</v>
      </c>
      <c r="R7" s="17" t="str">
        <f>TEXT(WEEKDAY(DATE(CalendarYear,9,17),1),"jjj")</f>
        <v>mer</v>
      </c>
      <c r="S7" s="17" t="str">
        <f>TEXT(WEEKDAY(DATE(CalendarYear,9,18),1),"jjj")</f>
        <v>jeu</v>
      </c>
      <c r="T7" s="17" t="str">
        <f>TEXT(WEEKDAY(DATE(CalendarYear,9,19),1),"jjj")</f>
        <v>ven</v>
      </c>
      <c r="U7" s="17" t="str">
        <f>TEXT(WEEKDAY(DATE(CalendarYear,9,20),1),"jjj")</f>
        <v>sam</v>
      </c>
      <c r="V7" s="17" t="str">
        <f>TEXT(WEEKDAY(DATE(CalendarYear,9,21),1),"jjj")</f>
        <v>dim</v>
      </c>
      <c r="W7" s="17" t="str">
        <f>TEXT(WEEKDAY(DATE(CalendarYear,9,22),1),"jjj")</f>
        <v>lun</v>
      </c>
      <c r="X7" s="17" t="str">
        <f>TEXT(WEEKDAY(DATE(CalendarYear,9,23),1),"jjj")</f>
        <v>mar</v>
      </c>
      <c r="Y7" s="17" t="str">
        <f>TEXT(WEEKDAY(DATE(CalendarYear,9,24),1),"jjj")</f>
        <v>mer</v>
      </c>
      <c r="Z7" s="17" t="str">
        <f>TEXT(WEEKDAY(DATE(CalendarYear,9,25),1),"jjj")</f>
        <v>jeu</v>
      </c>
      <c r="AA7" s="17" t="str">
        <f>TEXT(WEEKDAY(DATE(CalendarYear,9,26),1),"jjj")</f>
        <v>ven</v>
      </c>
      <c r="AB7" s="17" t="str">
        <f>TEXT(WEEKDAY(DATE(CalendarYear,9,27),1),"jjj")</f>
        <v>sam</v>
      </c>
      <c r="AC7" s="17" t="str">
        <f>TEXT(WEEKDAY(DATE(CalendarYear,9,28),1),"jjj")</f>
        <v>dim</v>
      </c>
      <c r="AD7" s="17" t="str">
        <f>TEXT(WEEKDAY(DATE(CalendarYear,9,29),1),"jjj")</f>
        <v>lun</v>
      </c>
      <c r="AE7" s="17" t="str">
        <f>TEXT(WEEKDAY(DATE(CalendarYear,9,30),1),"jjj")</f>
        <v>mar</v>
      </c>
      <c r="AF7" s="17" t="str">
        <f>TEXT(WEEKDAY(DATE(CalendarYear,9,24),1),"jjj")</f>
        <v>mer</v>
      </c>
      <c r="AG7" s="17"/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48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COUNTA(Septembre16[[#This Row],[1]:[ 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COUNTA(Septembre16[[#This Row],[1]:[ 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COUNTA(Septembre16[[#This Row],[1]:[ 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COUNTA(Septembre16[[#This Row],[1]:[ 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COUNTA(Septembre16[[#This Row],[1]:[ 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COUNTA(Septembre16[[#This Row],[1]:[ ]])</f>
        <v>0</v>
      </c>
    </row>
    <row r="15" spans="2:34" ht="30" customHeight="1">
      <c r="B15" s="2" t="s">
        <v>45</v>
      </c>
      <c r="AG15" s="29"/>
      <c r="AH15" s="29">
        <f>COUNTA(Septembre16[[#This Row],[1]:[ ]])</f>
        <v>0</v>
      </c>
    </row>
    <row r="16" spans="2:34" ht="30" customHeight="1">
      <c r="B16" s="35" t="s">
        <v>46</v>
      </c>
      <c r="AG16" s="29"/>
      <c r="AH16" s="29">
        <f>COUNTA(Septembre16[[#This Row],[1]:[ 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19" priority="2" stopIfTrue="1">
      <formula>C9="C"</formula>
    </cfRule>
    <cfRule type="expression" dxfId="18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{8B35E256-503C-4EF7-9F6C-E1EFEC2DFF1B}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B35E256-503C-4EF7-9F6C-E1EFEC2DFF1B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8B540-39DF-4D90-98E6-75F9FA148C08}">
  <sheetPr>
    <tabColor theme="7"/>
  </sheetPr>
  <dimension ref="B1:AH16"/>
  <sheetViews>
    <sheetView showGridLines="0" topLeftCell="A7" zoomScaleNormal="100" workbookViewId="0">
      <selection activeCell="R15" sqref="R15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57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</f>
        <v>2025</v>
      </c>
    </row>
    <row r="7" spans="2:34" ht="30" customHeight="1">
      <c r="B7" s="4"/>
      <c r="C7" s="17" t="str">
        <f>TEXT(WEEKDAY(DATE(CalendarYear,10,2),1),"jjj")</f>
        <v>jeu</v>
      </c>
      <c r="D7" s="17" t="str">
        <f>TEXT(WEEKDAY(DATE(CalendarYear,10,3),1),"jjj")</f>
        <v>ven</v>
      </c>
      <c r="E7" s="17" t="str">
        <f>TEXT(WEEKDAY(DATE(CalendarYear,10,4),1),"jjj")</f>
        <v>sam</v>
      </c>
      <c r="F7" s="17" t="str">
        <f>TEXT(WEEKDAY(DATE(CalendarYear,10,5),1),"jjj")</f>
        <v>dim</v>
      </c>
      <c r="G7" s="17" t="str">
        <f>TEXT(WEEKDAY(DATE(CalendarYear,10,6),1),"jjj")</f>
        <v>lun</v>
      </c>
      <c r="H7" s="17" t="str">
        <f>TEXT(WEEKDAY(DATE(CalendarYear,10,7),1),"jjj")</f>
        <v>mar</v>
      </c>
      <c r="I7" s="17" t="str">
        <f>TEXT(WEEKDAY(DATE(CalendarYear,10,8),1),"jjj")</f>
        <v>mer</v>
      </c>
      <c r="J7" s="17" t="str">
        <f>TEXT(WEEKDAY(DATE(CalendarYear,10,9),1),"jjj")</f>
        <v>jeu</v>
      </c>
      <c r="K7" s="17" t="str">
        <f>TEXT(WEEKDAY(DATE(CalendarYear,10,10),1),"jjj")</f>
        <v>ven</v>
      </c>
      <c r="L7" s="17" t="str">
        <f>TEXT(WEEKDAY(DATE(CalendarYear,10,11),1),"jjj")</f>
        <v>sam</v>
      </c>
      <c r="M7" s="17" t="str">
        <f>TEXT(WEEKDAY(DATE(CalendarYear,10,12),1),"jjj")</f>
        <v>dim</v>
      </c>
      <c r="N7" s="17" t="str">
        <f>TEXT(WEEKDAY(DATE(CalendarYear,10,13),1),"jjj")</f>
        <v>lun</v>
      </c>
      <c r="O7" s="17" t="str">
        <f>TEXT(WEEKDAY(DATE(CalendarYear,10,14),1),"jjj")</f>
        <v>mar</v>
      </c>
      <c r="P7" s="17" t="str">
        <f>TEXT(WEEKDAY(DATE(CalendarYear,10,15),1),"jjj")</f>
        <v>mer</v>
      </c>
      <c r="Q7" s="17" t="str">
        <f>TEXT(WEEKDAY(DATE(CalendarYear,10,16),1),"jjj")</f>
        <v>jeu</v>
      </c>
      <c r="R7" s="17" t="str">
        <f>TEXT(WEEKDAY(DATE(CalendarYear,10,17),1),"jjj")</f>
        <v>ven</v>
      </c>
      <c r="S7" s="17" t="str">
        <f>TEXT(WEEKDAY(DATE(CalendarYear,10,18),1),"jjj")</f>
        <v>sam</v>
      </c>
      <c r="T7" s="17" t="str">
        <f>TEXT(WEEKDAY(DATE(CalendarYear,10,19),1),"jjj")</f>
        <v>dim</v>
      </c>
      <c r="U7" s="17" t="str">
        <f>TEXT(WEEKDAY(DATE(CalendarYear,10,20),1),"jjj")</f>
        <v>lun</v>
      </c>
      <c r="V7" s="17" t="str">
        <f>TEXT(WEEKDAY(DATE(CalendarYear,10,21),1),"jjj")</f>
        <v>mar</v>
      </c>
      <c r="W7" s="17" t="str">
        <f>TEXT(WEEKDAY(DATE(CalendarYear,10,22),1),"jjj")</f>
        <v>mer</v>
      </c>
      <c r="X7" s="17" t="str">
        <f>TEXT(WEEKDAY(DATE(CalendarYear,10,23),1),"jjj")</f>
        <v>jeu</v>
      </c>
      <c r="Y7" s="17" t="str">
        <f>TEXT(WEEKDAY(DATE(CalendarYear,10,24),1),"jjj")</f>
        <v>ven</v>
      </c>
      <c r="Z7" s="17" t="str">
        <f>TEXT(WEEKDAY(DATE(CalendarYear,10,25),1),"jjj")</f>
        <v>sam</v>
      </c>
      <c r="AA7" s="17" t="str">
        <f>TEXT(WEEKDAY(DATE(CalendarYear,10,26),1),"jjj")</f>
        <v>dim</v>
      </c>
      <c r="AB7" s="17" t="str">
        <f>TEXT(WEEKDAY(DATE(CalendarYear,10,27),1),"jjj")</f>
        <v>lun</v>
      </c>
      <c r="AC7" s="17" t="str">
        <f>TEXT(WEEKDAY(DATE(CalendarYear,10,28),1),"jjj")</f>
        <v>mar</v>
      </c>
      <c r="AD7" s="17" t="str">
        <f>TEXT(WEEKDAY(DATE(CalendarYear,10,29),1),"jjj")</f>
        <v>mer</v>
      </c>
      <c r="AE7" s="17" t="str">
        <f>TEXT(WEEKDAY(DATE(CalendarYear,10,30),1),"jjj")</f>
        <v>jeu</v>
      </c>
      <c r="AF7" s="17" t="str">
        <f>TEXT(WEEKDAY(DATE(CalendarYear,10,31),1),"jjj")</f>
        <v>ven</v>
      </c>
      <c r="AG7" s="17" t="str">
        <f>TEXT(WEEKDAY(DATE(CalendarYear,10,25),1),"jjj")</f>
        <v>sam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 t="s">
        <v>1</v>
      </c>
      <c r="S9" s="1" t="s">
        <v>1</v>
      </c>
      <c r="T9" s="1" t="s">
        <v>1</v>
      </c>
      <c r="U9" s="1" t="s">
        <v>1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COUNTA(Octobre17[[#This Row],[1]:[31]])</f>
        <v>4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COUNTA(Octobre17[[#This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COUNTA(Octobre17[[#This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COUNTA(Octobre17[[#This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COUNTA(Octobre17[[#This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COUNTA(Octobre17[[#This Row],[1]:[31]])</f>
        <v>0</v>
      </c>
    </row>
    <row r="15" spans="2:34" ht="30" customHeight="1">
      <c r="B15" s="2" t="s">
        <v>45</v>
      </c>
      <c r="AG15" s="29"/>
      <c r="AH15" s="29">
        <f>COUNTA(Octobre17[[#This Row],[1]:[31]])</f>
        <v>0</v>
      </c>
    </row>
    <row r="16" spans="2:34" ht="30" customHeight="1">
      <c r="B16" s="35" t="s">
        <v>46</v>
      </c>
      <c r="AG16" s="29"/>
      <c r="AH16" s="29">
        <f>COUNTA(Octobre17[[#This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17" priority="2" stopIfTrue="1">
      <formula>C9="C"</formula>
    </cfRule>
    <cfRule type="expression" dxfId="16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{B01E2985-3A19-456B-A9A2-02E338115768}</x14:id>
        </ext>
      </extLst>
    </cfRule>
  </conditionalFormatting>
  <pageMargins left="0.7" right="0.7" top="0.75" bottom="0.75" header="0.3" footer="0.3"/>
  <pageSetup paperSize="9" fitToHeight="0" orientation="portrait" verticalDpi="4294967293"/>
  <legacy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1E2985-3A19-456B-A9A2-02E338115768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5B498-997B-4F28-BE60-442C18B282A4}">
  <sheetPr>
    <tabColor theme="7"/>
  </sheetPr>
  <dimension ref="B1:AH16"/>
  <sheetViews>
    <sheetView showGridLines="0" topLeftCell="B5" zoomScaleNormal="100" workbookViewId="0">
      <selection activeCell="Y16" sqref="Y16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58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</f>
        <v>2025</v>
      </c>
    </row>
    <row r="7" spans="2:34" ht="30" customHeight="1">
      <c r="B7" s="4"/>
      <c r="C7" s="17" t="str">
        <f>TEXT(WEEKDAY(DATE(CalendarYear,11,2),1),"jjj")</f>
        <v>dim</v>
      </c>
      <c r="D7" s="17" t="str">
        <f>TEXT(WEEKDAY(DATE(CalendarYear,11,3),1),"jjj")</f>
        <v>lun</v>
      </c>
      <c r="E7" s="17" t="str">
        <f>TEXT(WEEKDAY(DATE(CalendarYear,11,4),1),"jjj")</f>
        <v>mar</v>
      </c>
      <c r="F7" s="17" t="str">
        <f>TEXT(WEEKDAY(DATE(CalendarYear,11,5),1),"jjj")</f>
        <v>mer</v>
      </c>
      <c r="G7" s="17" t="str">
        <f>TEXT(WEEKDAY(DATE(CalendarYear,11,6),1),"jjj")</f>
        <v>jeu</v>
      </c>
      <c r="H7" s="17" t="str">
        <f>TEXT(WEEKDAY(DATE(CalendarYear,11,7),1),"jjj")</f>
        <v>ven</v>
      </c>
      <c r="I7" s="17" t="str">
        <f>TEXT(WEEKDAY(DATE(CalendarYear,11,8),1),"jjj")</f>
        <v>sam</v>
      </c>
      <c r="J7" s="17" t="str">
        <f>TEXT(WEEKDAY(DATE(CalendarYear,11,9),1),"jjj")</f>
        <v>dim</v>
      </c>
      <c r="K7" s="17" t="str">
        <f>TEXT(WEEKDAY(DATE(CalendarYear,11,10),1),"jjj")</f>
        <v>lun</v>
      </c>
      <c r="L7" s="17" t="str">
        <f>TEXT(WEEKDAY(DATE(CalendarYear,11,11),1),"jjj")</f>
        <v>mar</v>
      </c>
      <c r="M7" s="17" t="str">
        <f>TEXT(WEEKDAY(DATE(CalendarYear,11,12),1),"jjj")</f>
        <v>mer</v>
      </c>
      <c r="N7" s="17" t="str">
        <f>TEXT(WEEKDAY(DATE(CalendarYear,11,13),1),"jjj")</f>
        <v>jeu</v>
      </c>
      <c r="O7" s="17" t="str">
        <f>TEXT(WEEKDAY(DATE(CalendarYear,11,14),1),"jjj")</f>
        <v>ven</v>
      </c>
      <c r="P7" s="17" t="str">
        <f>TEXT(WEEKDAY(DATE(CalendarYear,11,15),1),"jjj")</f>
        <v>sam</v>
      </c>
      <c r="Q7" s="17" t="str">
        <f>TEXT(WEEKDAY(DATE(CalendarYear,11,16),1),"jjj")</f>
        <v>dim</v>
      </c>
      <c r="R7" s="17" t="str">
        <f>TEXT(WEEKDAY(DATE(CalendarYear,11,17),1),"jjj")</f>
        <v>lun</v>
      </c>
      <c r="S7" s="17" t="str">
        <f>TEXT(WEEKDAY(DATE(CalendarYear,11,18),1),"jjj")</f>
        <v>mar</v>
      </c>
      <c r="T7" s="17" t="str">
        <f>TEXT(WEEKDAY(DATE(CalendarYear,11,19),1),"jjj")</f>
        <v>mer</v>
      </c>
      <c r="U7" s="17" t="str">
        <f>TEXT(WEEKDAY(DATE(CalendarYear,11,20),1),"jjj")</f>
        <v>jeu</v>
      </c>
      <c r="V7" s="17" t="str">
        <f>TEXT(WEEKDAY(DATE(CalendarYear,11,21),1),"jjj")</f>
        <v>ven</v>
      </c>
      <c r="W7" s="17" t="str">
        <f>TEXT(WEEKDAY(DATE(CalendarYear,11,22),1),"jjj")</f>
        <v>sam</v>
      </c>
      <c r="X7" s="17" t="str">
        <f>TEXT(WEEKDAY(DATE(CalendarYear,11,23),1),"jjj")</f>
        <v>dim</v>
      </c>
      <c r="Y7" s="17" t="str">
        <f>TEXT(WEEKDAY(DATE(CalendarYear,11,24),1),"jjj")</f>
        <v>lun</v>
      </c>
      <c r="Z7" s="17" t="str">
        <f>TEXT(WEEKDAY(DATE(CalendarYear,11,25),1),"jjj")</f>
        <v>mar</v>
      </c>
      <c r="AA7" s="17" t="str">
        <f>TEXT(WEEKDAY(DATE(CalendarYear,11,26),1),"jjj")</f>
        <v>mer</v>
      </c>
      <c r="AB7" s="17" t="str">
        <f>TEXT(WEEKDAY(DATE(CalendarYear,11,27),1),"jjj")</f>
        <v>jeu</v>
      </c>
      <c r="AC7" s="17" t="str">
        <f>TEXT(WEEKDAY(DATE(CalendarYear,11,28),1),"jjj")</f>
        <v>ven</v>
      </c>
      <c r="AD7" s="17" t="str">
        <f>TEXT(WEEKDAY(DATE(CalendarYear,11,29),1),"jjj")</f>
        <v>sam</v>
      </c>
      <c r="AE7" s="17" t="str">
        <f>TEXT(WEEKDAY(DATE(CalendarYear,11,30),1),"jjj")</f>
        <v>dim</v>
      </c>
      <c r="AF7" s="17" t="str">
        <f>TEXT(WEEKDAY(DATE(CalendarYear,11,24),1),"jjj")</f>
        <v>lun</v>
      </c>
      <c r="AG7" s="17"/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48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 t="s">
        <v>68</v>
      </c>
      <c r="V9" s="1" t="s">
        <v>68</v>
      </c>
      <c r="W9" s="1" t="s">
        <v>68</v>
      </c>
      <c r="X9" s="1" t="s">
        <v>68</v>
      </c>
      <c r="Y9" s="1" t="s">
        <v>68</v>
      </c>
      <c r="Z9" s="1"/>
      <c r="AA9" s="1"/>
      <c r="AB9" s="1"/>
      <c r="AC9" s="1"/>
      <c r="AD9" s="1"/>
      <c r="AE9" s="1"/>
      <c r="AF9" s="1"/>
      <c r="AG9" s="1"/>
      <c r="AH9" s="3">
        <f>COUNTA(Novembre24[[#This Row],[1]:[ ]])</f>
        <v>5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COUNTA(Novembre24[[#This Row],[1]:[ 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COUNTA(Novembre24[[#This Row],[1]:[ 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COUNTA(Novembre24[[#This Row],[1]:[ 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COUNTA(Novembre24[[#This Row],[1]:[ 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COUNTA(Novembre24[[#This Row],[1]:[ ]])</f>
        <v>0</v>
      </c>
    </row>
    <row r="15" spans="2:34" ht="30" customHeight="1">
      <c r="B15" s="2" t="s">
        <v>45</v>
      </c>
      <c r="AG15" s="29"/>
      <c r="AH15" s="29">
        <f>COUNTA(Novembre24[[#This Row],[1]:[ ]])</f>
        <v>0</v>
      </c>
    </row>
    <row r="16" spans="2:34" ht="30" customHeight="1">
      <c r="B16" s="35" t="s">
        <v>46</v>
      </c>
      <c r="AG16" s="29"/>
      <c r="AH16" s="29">
        <f>COUNTA(Novembre24[[#This Row],[1]:[ 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15" priority="2" stopIfTrue="1">
      <formula>C9="C"</formula>
    </cfRule>
    <cfRule type="expression" dxfId="14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{C95A0FFB-AEB2-49FF-8290-ABB92DED4C71}</x14:id>
        </ext>
      </extLst>
    </cfRule>
  </conditionalFormatting>
  <pageMargins left="0.7" right="0.7" top="0.75" bottom="0.75" header="0.3" footer="0.3"/>
  <pageSetup paperSize="9" fitToHeight="0" orientation="portrait" verticalDpi="4294967293"/>
  <legacy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95A0FFB-AEB2-49FF-8290-ABB92DED4C7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C12E3-C26C-45EE-B474-24DF01814C11}">
  <sheetPr>
    <tabColor theme="6" tint="0.39997558519241921"/>
  </sheetPr>
  <dimension ref="B1:AH16"/>
  <sheetViews>
    <sheetView showGridLines="0" topLeftCell="A6" zoomScaleNormal="100" workbookViewId="0">
      <selection activeCell="R11" sqref="R11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19" t="s">
        <v>59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</f>
        <v>2025</v>
      </c>
    </row>
    <row r="7" spans="2:34" ht="30" customHeight="1">
      <c r="B7" s="4"/>
      <c r="C7" s="17" t="str">
        <f>TEXT(WEEKDAY(DATE(CalendarYear,12,2),1),"jjj")</f>
        <v>mar</v>
      </c>
      <c r="D7" s="17" t="str">
        <f>TEXT(WEEKDAY(DATE(CalendarYear,12,3),1),"jjj")</f>
        <v>mer</v>
      </c>
      <c r="E7" s="17" t="str">
        <f>TEXT(WEEKDAY(DATE(CalendarYear,12,4),1),"jjj")</f>
        <v>jeu</v>
      </c>
      <c r="F7" s="17" t="str">
        <f>TEXT(WEEKDAY(DATE(CalendarYear,12,5),1),"jjj")</f>
        <v>ven</v>
      </c>
      <c r="G7" s="17" t="str">
        <f>TEXT(WEEKDAY(DATE(CalendarYear,12,6),1),"jjj")</f>
        <v>sam</v>
      </c>
      <c r="H7" s="17" t="str">
        <f>TEXT(WEEKDAY(DATE(CalendarYear,12,7),1),"jjj")</f>
        <v>dim</v>
      </c>
      <c r="I7" s="17" t="str">
        <f>TEXT(WEEKDAY(DATE(CalendarYear,12,8),1),"jjj")</f>
        <v>lun</v>
      </c>
      <c r="J7" s="17" t="str">
        <f>TEXT(WEEKDAY(DATE(CalendarYear,12,9),1),"jjj")</f>
        <v>mar</v>
      </c>
      <c r="K7" s="17" t="str">
        <f>TEXT(WEEKDAY(DATE(CalendarYear,12,10),1),"jjj")</f>
        <v>mer</v>
      </c>
      <c r="L7" s="17" t="str">
        <f>TEXT(WEEKDAY(DATE(CalendarYear,12,11),1),"jjj")</f>
        <v>jeu</v>
      </c>
      <c r="M7" s="17" t="str">
        <f>TEXT(WEEKDAY(DATE(CalendarYear,12,12),1),"jjj")</f>
        <v>ven</v>
      </c>
      <c r="N7" s="17" t="str">
        <f>TEXT(WEEKDAY(DATE(CalendarYear,12,13),1),"jjj")</f>
        <v>sam</v>
      </c>
      <c r="O7" s="17" t="str">
        <f>TEXT(WEEKDAY(DATE(CalendarYear,12,14),1),"jjj")</f>
        <v>dim</v>
      </c>
      <c r="P7" s="17" t="str">
        <f>TEXT(WEEKDAY(DATE(CalendarYear,12,15),1),"jjj")</f>
        <v>lun</v>
      </c>
      <c r="Q7" s="17" t="str">
        <f>TEXT(WEEKDAY(DATE(CalendarYear,12,16),1),"jjj")</f>
        <v>mar</v>
      </c>
      <c r="R7" s="17" t="str">
        <f>TEXT(WEEKDAY(DATE(CalendarYear,12,17),1),"jjj")</f>
        <v>mer</v>
      </c>
      <c r="S7" s="17" t="str">
        <f>TEXT(WEEKDAY(DATE(CalendarYear,12,18),1),"jjj")</f>
        <v>jeu</v>
      </c>
      <c r="T7" s="17" t="str">
        <f>TEXT(WEEKDAY(DATE(CalendarYear,12,19),1),"jjj")</f>
        <v>ven</v>
      </c>
      <c r="U7" s="17" t="str">
        <f>TEXT(WEEKDAY(DATE(CalendarYear,12,20),1),"jjj")</f>
        <v>sam</v>
      </c>
      <c r="V7" s="17" t="str">
        <f>TEXT(WEEKDAY(DATE(CalendarYear,12,21),1),"jjj")</f>
        <v>dim</v>
      </c>
      <c r="W7" s="17" t="str">
        <f>TEXT(WEEKDAY(DATE(CalendarYear,12,22),1),"jjj")</f>
        <v>lun</v>
      </c>
      <c r="X7" s="17" t="str">
        <f>TEXT(WEEKDAY(DATE(CalendarYear,12,23),1),"jjj")</f>
        <v>mar</v>
      </c>
      <c r="Y7" s="17" t="str">
        <f>TEXT(WEEKDAY(DATE(CalendarYear,12,24),1),"jjj")</f>
        <v>mer</v>
      </c>
      <c r="Z7" s="17" t="str">
        <f>TEXT(WEEKDAY(DATE(CalendarYear,12,25),1),"jjj")</f>
        <v>jeu</v>
      </c>
      <c r="AA7" s="17" t="str">
        <f>TEXT(WEEKDAY(DATE(CalendarYear,12,26),1),"jjj")</f>
        <v>ven</v>
      </c>
      <c r="AB7" s="17" t="str">
        <f>TEXT(WEEKDAY(DATE(CalendarYear,12,27),1),"jjj")</f>
        <v>sam</v>
      </c>
      <c r="AC7" s="17" t="str">
        <f>TEXT(WEEKDAY(DATE(CalendarYear,12,28),1),"jjj")</f>
        <v>dim</v>
      </c>
      <c r="AD7" s="17" t="str">
        <f>TEXT(WEEKDAY(DATE(CalendarYear,12,29),1),"jjj")</f>
        <v>lun</v>
      </c>
      <c r="AE7" s="17" t="str">
        <f>TEXT(WEEKDAY(DATE(CalendarYear,12,30),1),"jjj")</f>
        <v>mar</v>
      </c>
      <c r="AF7" s="17" t="str">
        <f>TEXT(WEEKDAY(DATE(CalendarYear,12,31),1),"jjj")</f>
        <v>mer</v>
      </c>
      <c r="AG7" s="17" t="str">
        <f>TEXT(WEEKDAY(DATE(CalendarYear,12,25),1),"jjj")</f>
        <v>jeu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COUNTA(Décembre25[[#This Row],[1]:[31]])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COUNTA(Décembre25[[#This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COUNTA(Décembre25[[#This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COUNTA(Décembre25[[#This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COUNTA(Décembre25[[#This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COUNTA(Décembre25[[#This Row],[1]:[31]])</f>
        <v>0</v>
      </c>
    </row>
    <row r="15" spans="2:34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AG15" s="29"/>
      <c r="AH15" s="29">
        <f>COUNTA(Décembre25[[#This Row],[1]:[31]])</f>
        <v>0</v>
      </c>
    </row>
    <row r="16" spans="2:34" ht="30" customHeight="1">
      <c r="B16" s="35" t="s">
        <v>46</v>
      </c>
      <c r="AG16" s="29"/>
      <c r="AH16" s="29">
        <f>COUNTA(Décembre25[[#This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13" priority="14" stopIfTrue="1">
      <formula>C9="C"</formula>
    </cfRule>
    <cfRule type="expression" dxfId="12" priority="15" stopIfTrue="1">
      <formula>C9="R"</formula>
    </cfRule>
  </conditionalFormatting>
  <conditionalFormatting sqref="AH9:AH16">
    <cfRule type="dataBar" priority="13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{B99FD633-0171-4D99-8439-3B2096091D8F}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99FD633-0171-4D99-8439-3B2096091D8F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11E54-F859-4B09-A292-A9154276401C}">
  <sheetPr>
    <tabColor theme="6" tint="0.39997558519241921"/>
  </sheetPr>
  <dimension ref="B1:AH16"/>
  <sheetViews>
    <sheetView showGridLines="0" tabSelected="1" topLeftCell="A5" zoomScaleNormal="100" workbookViewId="0">
      <selection activeCell="Z14" sqref="Z14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" width="4.88671875" customWidth="1"/>
    <col min="4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19" t="s">
        <v>59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CalendarYear+2</f>
        <v>2027</v>
      </c>
    </row>
    <row r="7" spans="2:34" ht="30" customHeight="1">
      <c r="B7" s="4"/>
      <c r="C7" s="42" t="s">
        <v>65</v>
      </c>
      <c r="D7" s="42" t="s">
        <v>66</v>
      </c>
      <c r="E7" s="42" t="s">
        <v>67</v>
      </c>
      <c r="F7" s="42" t="s">
        <v>61</v>
      </c>
      <c r="G7" s="42" t="s">
        <v>62</v>
      </c>
      <c r="H7" s="42" t="s">
        <v>63</v>
      </c>
      <c r="I7" s="42" t="s">
        <v>64</v>
      </c>
      <c r="J7" s="42" t="s">
        <v>65</v>
      </c>
      <c r="K7" s="42" t="s">
        <v>66</v>
      </c>
      <c r="L7" s="42" t="s">
        <v>67</v>
      </c>
      <c r="M7" s="42" t="s">
        <v>61</v>
      </c>
      <c r="N7" s="42" t="s">
        <v>62</v>
      </c>
      <c r="O7" s="42" t="s">
        <v>63</v>
      </c>
      <c r="P7" s="42" t="s">
        <v>64</v>
      </c>
      <c r="Q7" s="42" t="s">
        <v>65</v>
      </c>
      <c r="R7" s="42" t="s">
        <v>66</v>
      </c>
      <c r="S7" s="42" t="s">
        <v>67</v>
      </c>
      <c r="T7" s="42" t="s">
        <v>61</v>
      </c>
      <c r="U7" s="42" t="s">
        <v>62</v>
      </c>
      <c r="V7" s="42" t="s">
        <v>63</v>
      </c>
      <c r="W7" s="42" t="s">
        <v>64</v>
      </c>
      <c r="X7" s="42" t="s">
        <v>65</v>
      </c>
      <c r="Y7" s="42" t="s">
        <v>66</v>
      </c>
      <c r="Z7" s="42" t="s">
        <v>67</v>
      </c>
      <c r="AA7" s="42" t="s">
        <v>61</v>
      </c>
      <c r="AB7" s="42" t="s">
        <v>62</v>
      </c>
      <c r="AC7" s="42" t="s">
        <v>63</v>
      </c>
      <c r="AD7" s="42" t="s">
        <v>64</v>
      </c>
      <c r="AE7" s="42" t="s">
        <v>65</v>
      </c>
      <c r="AF7" s="42" t="s">
        <v>66</v>
      </c>
      <c r="AG7" s="42" t="s">
        <v>67</v>
      </c>
      <c r="AH7" s="41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 t="s">
        <v>68</v>
      </c>
      <c r="J9" s="1" t="s">
        <v>68</v>
      </c>
      <c r="K9" s="1" t="s">
        <v>68</v>
      </c>
      <c r="L9" s="1" t="s">
        <v>68</v>
      </c>
      <c r="M9" s="1" t="s">
        <v>68</v>
      </c>
      <c r="N9" s="1" t="s">
        <v>68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 t="s">
        <v>68</v>
      </c>
      <c r="AE9" s="1" t="s">
        <v>68</v>
      </c>
      <c r="AF9" s="1" t="s">
        <v>68</v>
      </c>
      <c r="AG9" s="1" t="s">
        <v>68</v>
      </c>
      <c r="AH9" s="3">
        <f>COUNTA(Décembre2526[[#This Row],[1]:[31]])</f>
        <v>10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COUNTA(Décembre2526[[#This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COUNTA(Décembre2526[[#This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COUNTA(Décembre2526[[#This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COUNTA(Décembre2526[[#This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COUNTA(Décembre2526[[#This Row],[1]:[31]])</f>
        <v>0</v>
      </c>
    </row>
    <row r="15" spans="2:34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AG15" s="29"/>
      <c r="AH15" s="29">
        <f>COUNTA(Décembre2526[[#This Row],[1]:[31]])</f>
        <v>0</v>
      </c>
    </row>
    <row r="16" spans="2:34" ht="30" customHeight="1">
      <c r="B16" s="35" t="s">
        <v>46</v>
      </c>
      <c r="AG16" s="29"/>
      <c r="AH16" s="29">
        <f>COUNTA(Décembre2526[[#This Row],[1]:[31]])</f>
        <v>0</v>
      </c>
    </row>
  </sheetData>
  <mergeCells count="6">
    <mergeCell ref="D4:E4"/>
    <mergeCell ref="G4:I4"/>
    <mergeCell ref="K4:L4"/>
    <mergeCell ref="O4:R4"/>
    <mergeCell ref="T4:W4"/>
    <mergeCell ref="C6:AG6"/>
  </mergeCells>
  <phoneticPr fontId="34" type="noConversion"/>
  <conditionalFormatting sqref="C9:AG16">
    <cfRule type="expression" dxfId="1" priority="2" stopIfTrue="1">
      <formula>C9="C"</formula>
    </cfRule>
    <cfRule type="expression" dxfId="0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{1FF786E9-D9C6-42C8-8F32-D8E5B854C9D2}</x14:id>
        </ext>
      </extLst>
    </cfRule>
  </conditionalFormatting>
  <pageMargins left="0.7" right="0.7" top="0.75" bottom="0.75" header="0.3" footer="0.3"/>
  <pageSetup paperSize="9" fitToHeight="0" orientation="portrait" verticalDpi="4294967293"/>
  <legacy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FF786E9-D9C6-42C8-8F32-D8E5B854C9D2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BB409-C9CB-4EF0-8FB1-427A5A51D5F4}">
  <sheetPr>
    <tabColor theme="6" tint="0.39997558519241921"/>
  </sheetPr>
  <dimension ref="B1:AE16"/>
  <sheetViews>
    <sheetView showGridLines="0" topLeftCell="A7" zoomScale="94" zoomScaleNormal="100" workbookViewId="0">
      <selection activeCell="X13" sqref="X13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" width="4.88671875" customWidth="1"/>
    <col min="4" max="30" width="4.6640625" customWidth="1"/>
    <col min="31" max="31" width="18" customWidth="1"/>
    <col min="32" max="32" width="2.6640625" customWidth="1"/>
  </cols>
  <sheetData>
    <row r="1" spans="2:31" ht="50.1" customHeight="1">
      <c r="B1" s="20"/>
    </row>
    <row r="2" spans="2:31" ht="100.35" customHeight="1">
      <c r="B2" s="19" t="s">
        <v>59</v>
      </c>
    </row>
    <row r="3" spans="2:31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2:31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1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4">
        <f>CalendarYear+2</f>
        <v>2027</v>
      </c>
    </row>
    <row r="7" spans="2:31" ht="30" customHeight="1">
      <c r="B7" s="4"/>
      <c r="C7" s="42" t="s">
        <v>61</v>
      </c>
      <c r="D7" s="42" t="s">
        <v>62</v>
      </c>
      <c r="E7" s="42" t="s">
        <v>63</v>
      </c>
      <c r="F7" s="42" t="s">
        <v>64</v>
      </c>
      <c r="G7" s="42" t="s">
        <v>65</v>
      </c>
      <c r="H7" s="42" t="s">
        <v>66</v>
      </c>
      <c r="I7" s="42" t="s">
        <v>67</v>
      </c>
      <c r="J7" s="42" t="s">
        <v>61</v>
      </c>
      <c r="K7" s="42" t="s">
        <v>62</v>
      </c>
      <c r="L7" s="42" t="s">
        <v>63</v>
      </c>
      <c r="M7" s="42" t="s">
        <v>64</v>
      </c>
      <c r="N7" s="42" t="s">
        <v>65</v>
      </c>
      <c r="O7" s="42" t="s">
        <v>66</v>
      </c>
      <c r="P7" s="42" t="s">
        <v>67</v>
      </c>
      <c r="Q7" s="42" t="s">
        <v>61</v>
      </c>
      <c r="R7" s="42" t="s">
        <v>62</v>
      </c>
      <c r="S7" s="42" t="s">
        <v>63</v>
      </c>
      <c r="T7" s="42" t="s">
        <v>64</v>
      </c>
      <c r="U7" s="42" t="s">
        <v>65</v>
      </c>
      <c r="V7" s="42" t="s">
        <v>66</v>
      </c>
      <c r="W7" s="42" t="s">
        <v>67</v>
      </c>
      <c r="X7" s="42" t="s">
        <v>61</v>
      </c>
      <c r="Y7" s="42" t="s">
        <v>62</v>
      </c>
      <c r="Z7" s="42" t="s">
        <v>63</v>
      </c>
      <c r="AA7" s="42" t="s">
        <v>64</v>
      </c>
      <c r="AB7" s="42" t="s">
        <v>65</v>
      </c>
      <c r="AC7" s="42" t="s">
        <v>66</v>
      </c>
      <c r="AD7" s="42" t="s">
        <v>67</v>
      </c>
      <c r="AE7" s="41"/>
    </row>
    <row r="8" spans="2:31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8" t="s">
        <v>38</v>
      </c>
    </row>
    <row r="9" spans="2:31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3"/>
    </row>
    <row r="10" spans="2:31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3">
        <f>COUNTA(Novembre24[[#This Row],[1]:[ ]])</f>
        <v>0</v>
      </c>
    </row>
    <row r="11" spans="2:31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3">
        <f>COUNTA(Novembre24[[#This Row],[1]:[ ]])</f>
        <v>0</v>
      </c>
    </row>
    <row r="12" spans="2:31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3">
        <f>COUNTA(Novembre24[[#This Row],[1]:[ ]])</f>
        <v>0</v>
      </c>
    </row>
    <row r="13" spans="2:31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3">
        <f>COUNTA(Novembre24[[#This Row],[1]:[ ]])</f>
        <v>0</v>
      </c>
    </row>
    <row r="14" spans="2:31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3">
        <f>COUNTA(Novembre24[[#This Row],[1]:[ ]])</f>
        <v>0</v>
      </c>
    </row>
    <row r="15" spans="2:31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AE15" s="3">
        <f>COUNTA(Novembre24[[#This Row],[1]:[ ]])</f>
        <v>0</v>
      </c>
    </row>
    <row r="16" spans="2:31" ht="30" customHeight="1">
      <c r="B16" s="35" t="s">
        <v>46</v>
      </c>
      <c r="AE16" s="3">
        <f>COUNTA(Novembre24[[#This Row],[1]:[ ]])</f>
        <v>0</v>
      </c>
    </row>
  </sheetData>
  <mergeCells count="6">
    <mergeCell ref="D4:E4"/>
    <mergeCell ref="G4:I4"/>
    <mergeCell ref="K4:L4"/>
    <mergeCell ref="O4:R4"/>
    <mergeCell ref="T4:W4"/>
    <mergeCell ref="C6:AD6"/>
  </mergeCells>
  <phoneticPr fontId="34" type="noConversion"/>
  <conditionalFormatting sqref="C9:AD16">
    <cfRule type="expression" dxfId="11" priority="2" stopIfTrue="1">
      <formula>C9="C"</formula>
    </cfRule>
    <cfRule type="expression" dxfId="10" priority="3" stopIfTrue="1">
      <formula>C9="R"</formula>
    </cfRule>
  </conditionalFormatting>
  <conditionalFormatting sqref="AE9:AE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{40386D2C-59F7-4FC9-9E0F-6B91977C6086}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0386D2C-59F7-4FC9-9E0F-6B91977C6086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AE9:AE16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4AE28-69B1-49B4-B48D-414C4F00C1E0}">
  <sheetPr>
    <tabColor theme="6" tint="0.39997558519241921"/>
  </sheetPr>
  <dimension ref="B1:AH16"/>
  <sheetViews>
    <sheetView showGridLines="0" topLeftCell="A5" zoomScaleNormal="100" workbookViewId="0">
      <selection activeCell="AA9" sqref="AA9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" width="4.88671875" customWidth="1"/>
    <col min="4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19" t="s">
        <v>59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CalendarYear+2</f>
        <v>2027</v>
      </c>
    </row>
    <row r="7" spans="2:34" ht="30" customHeight="1">
      <c r="B7" s="4"/>
      <c r="C7" s="42" t="s">
        <v>61</v>
      </c>
      <c r="D7" s="42" t="s">
        <v>62</v>
      </c>
      <c r="E7" s="42" t="s">
        <v>63</v>
      </c>
      <c r="F7" s="42" t="s">
        <v>64</v>
      </c>
      <c r="G7" s="42" t="s">
        <v>65</v>
      </c>
      <c r="H7" s="42" t="s">
        <v>66</v>
      </c>
      <c r="I7" s="42" t="s">
        <v>67</v>
      </c>
      <c r="J7" s="42" t="s">
        <v>61</v>
      </c>
      <c r="K7" s="42" t="s">
        <v>62</v>
      </c>
      <c r="L7" s="42" t="s">
        <v>63</v>
      </c>
      <c r="M7" s="42" t="s">
        <v>64</v>
      </c>
      <c r="N7" s="42" t="s">
        <v>65</v>
      </c>
      <c r="O7" s="42" t="s">
        <v>66</v>
      </c>
      <c r="P7" s="42" t="s">
        <v>67</v>
      </c>
      <c r="Q7" s="42" t="s">
        <v>61</v>
      </c>
      <c r="R7" s="42" t="s">
        <v>62</v>
      </c>
      <c r="S7" s="42" t="s">
        <v>63</v>
      </c>
      <c r="T7" s="42" t="s">
        <v>64</v>
      </c>
      <c r="U7" s="42" t="s">
        <v>65</v>
      </c>
      <c r="V7" s="42" t="s">
        <v>66</v>
      </c>
      <c r="W7" s="42" t="s">
        <v>67</v>
      </c>
      <c r="X7" s="42" t="s">
        <v>61</v>
      </c>
      <c r="Y7" s="42" t="s">
        <v>62</v>
      </c>
      <c r="Z7" s="42" t="s">
        <v>63</v>
      </c>
      <c r="AA7" s="42" t="s">
        <v>64</v>
      </c>
      <c r="AB7" s="42" t="s">
        <v>65</v>
      </c>
      <c r="AC7" s="42" t="s">
        <v>66</v>
      </c>
      <c r="AD7" s="42" t="s">
        <v>67</v>
      </c>
      <c r="AE7" s="42" t="s">
        <v>61</v>
      </c>
      <c r="AF7" s="42" t="s">
        <v>62</v>
      </c>
      <c r="AG7" s="42" t="s">
        <v>63</v>
      </c>
      <c r="AH7" s="41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COUNTA(Décembre252629[[#This Row],[1]:[31]])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COUNTA(Décembre252629[[#This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COUNTA(Décembre252629[[#This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COUNTA(Décembre252629[[#This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COUNTA(Décembre252629[[#This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COUNTA(Décembre252629[[#This Row],[1]:[31]])</f>
        <v>0</v>
      </c>
    </row>
    <row r="15" spans="2:34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AG15" s="29"/>
      <c r="AH15" s="29">
        <f>COUNTA(Décembre252629[[#This Row],[1]:[31]])</f>
        <v>0</v>
      </c>
    </row>
    <row r="16" spans="2:34" ht="30" customHeight="1">
      <c r="B16" s="35" t="s">
        <v>46</v>
      </c>
      <c r="AG16" s="29"/>
      <c r="AH16" s="29">
        <f>COUNTA(Décembre252629[[#This Row],[1]:[31]])</f>
        <v>0</v>
      </c>
    </row>
  </sheetData>
  <mergeCells count="6">
    <mergeCell ref="D4:E4"/>
    <mergeCell ref="G4:I4"/>
    <mergeCell ref="K4:L4"/>
    <mergeCell ref="O4:R4"/>
    <mergeCell ref="T4:W4"/>
    <mergeCell ref="C6:AG6"/>
  </mergeCells>
  <phoneticPr fontId="34" type="noConversion"/>
  <conditionalFormatting sqref="C9:AG16">
    <cfRule type="expression" dxfId="9" priority="2" stopIfTrue="1">
      <formula>C9="C"</formula>
    </cfRule>
    <cfRule type="expression" dxfId="8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{B28167A8-1B4F-402E-9AF0-E373ECA5E516}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28167A8-1B4F-402E-9AF0-E373ECA5E516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BD09D-43DF-4A11-AC31-C1548929A21C}">
  <sheetPr>
    <tabColor theme="6" tint="0.39997558519241921"/>
  </sheetPr>
  <dimension ref="B1:AG16"/>
  <sheetViews>
    <sheetView showGridLines="0" topLeftCell="A5" zoomScaleNormal="100" workbookViewId="0">
      <selection activeCell="AC14" sqref="AC14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" width="4.88671875" customWidth="1"/>
    <col min="4" max="32" width="4.6640625" customWidth="1"/>
    <col min="33" max="33" width="18" customWidth="1"/>
    <col min="34" max="34" width="2.6640625" customWidth="1"/>
  </cols>
  <sheetData>
    <row r="1" spans="2:33" ht="50.1" customHeight="1">
      <c r="B1" s="20"/>
    </row>
    <row r="2" spans="2:33" ht="100.35" customHeight="1">
      <c r="B2" s="19" t="s">
        <v>59</v>
      </c>
    </row>
    <row r="3" spans="2:33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2:33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3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2:33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4">
        <f>CalendarYear+2</f>
        <v>2027</v>
      </c>
    </row>
    <row r="7" spans="2:33" ht="30" customHeight="1">
      <c r="B7" s="4"/>
      <c r="C7" s="42" t="s">
        <v>61</v>
      </c>
      <c r="D7" s="42" t="s">
        <v>62</v>
      </c>
      <c r="E7" s="42" t="s">
        <v>63</v>
      </c>
      <c r="F7" s="42" t="s">
        <v>64</v>
      </c>
      <c r="G7" s="42" t="s">
        <v>65</v>
      </c>
      <c r="H7" s="42" t="s">
        <v>66</v>
      </c>
      <c r="I7" s="42" t="s">
        <v>67</v>
      </c>
      <c r="J7" s="42" t="s">
        <v>61</v>
      </c>
      <c r="K7" s="42" t="s">
        <v>62</v>
      </c>
      <c r="L7" s="42" t="s">
        <v>63</v>
      </c>
      <c r="M7" s="42" t="s">
        <v>64</v>
      </c>
      <c r="N7" s="42" t="s">
        <v>65</v>
      </c>
      <c r="O7" s="42" t="s">
        <v>66</v>
      </c>
      <c r="P7" s="42" t="s">
        <v>67</v>
      </c>
      <c r="Q7" s="42" t="s">
        <v>61</v>
      </c>
      <c r="R7" s="42" t="s">
        <v>62</v>
      </c>
      <c r="S7" s="42" t="s">
        <v>63</v>
      </c>
      <c r="T7" s="42" t="s">
        <v>64</v>
      </c>
      <c r="U7" s="42" t="s">
        <v>65</v>
      </c>
      <c r="V7" s="42" t="s">
        <v>66</v>
      </c>
      <c r="W7" s="42" t="s">
        <v>67</v>
      </c>
      <c r="X7" s="42" t="s">
        <v>61</v>
      </c>
      <c r="Y7" s="42" t="s">
        <v>62</v>
      </c>
      <c r="Z7" s="42" t="s">
        <v>63</v>
      </c>
      <c r="AA7" s="42" t="s">
        <v>64</v>
      </c>
      <c r="AB7" s="42" t="s">
        <v>65</v>
      </c>
      <c r="AC7" s="42" t="s">
        <v>66</v>
      </c>
      <c r="AD7" s="42" t="s">
        <v>67</v>
      </c>
      <c r="AE7" s="42" t="s">
        <v>61</v>
      </c>
      <c r="AF7" s="42" t="s">
        <v>62</v>
      </c>
      <c r="AG7" s="41"/>
    </row>
    <row r="8" spans="2:33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8" t="s">
        <v>38</v>
      </c>
    </row>
    <row r="9" spans="2:33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3">
        <v>0</v>
      </c>
    </row>
    <row r="10" spans="2:33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3">
        <v>0</v>
      </c>
    </row>
    <row r="11" spans="2:33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3">
        <v>0</v>
      </c>
    </row>
    <row r="12" spans="2:33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3">
        <v>0</v>
      </c>
    </row>
    <row r="13" spans="2:33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3">
        <v>0</v>
      </c>
    </row>
    <row r="14" spans="2:33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3">
        <v>0</v>
      </c>
    </row>
    <row r="15" spans="2:33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AG15" s="3">
        <v>0</v>
      </c>
    </row>
    <row r="16" spans="2:33" ht="30" customHeight="1">
      <c r="B16" s="35" t="s">
        <v>46</v>
      </c>
      <c r="AG16" s="3">
        <v>0</v>
      </c>
    </row>
  </sheetData>
  <mergeCells count="6">
    <mergeCell ref="D4:E4"/>
    <mergeCell ref="G4:I4"/>
    <mergeCell ref="K4:L4"/>
    <mergeCell ref="O4:R4"/>
    <mergeCell ref="T4:W4"/>
    <mergeCell ref="C6:AF6"/>
  </mergeCells>
  <conditionalFormatting sqref="C9:AF16">
    <cfRule type="expression" dxfId="7" priority="2" stopIfTrue="1">
      <formula>C9="C"</formula>
    </cfRule>
    <cfRule type="expression" dxfId="6" priority="3" stopIfTrue="1">
      <formula>C9="R"</formula>
    </cfRule>
  </conditionalFormatting>
  <conditionalFormatting sqref="AG9:AG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{5F6BBB18-A199-4CB7-BE87-4F8EC08A9F59}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F6BBB18-A199-4CB7-BE87-4F8EC08A9F59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AG9:AG16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8AF70-A466-4320-AA5E-A9D688D9038B}">
  <sheetPr>
    <tabColor theme="6" tint="0.39997558519241921"/>
  </sheetPr>
  <dimension ref="B1:AH16"/>
  <sheetViews>
    <sheetView showGridLines="0" topLeftCell="A5" zoomScaleNormal="100" workbookViewId="0">
      <selection activeCell="X11" sqref="X11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" width="4.88671875" customWidth="1"/>
    <col min="4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19" t="s">
        <v>59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6"/>
      <c r="AH6" s="4">
        <f>CalendarYear+2</f>
        <v>2027</v>
      </c>
    </row>
    <row r="7" spans="2:34" ht="30" customHeight="1">
      <c r="B7" s="4"/>
      <c r="C7" s="42" t="s">
        <v>61</v>
      </c>
      <c r="D7" s="42" t="s">
        <v>62</v>
      </c>
      <c r="E7" s="42" t="s">
        <v>63</v>
      </c>
      <c r="F7" s="42" t="s">
        <v>64</v>
      </c>
      <c r="G7" s="42" t="s">
        <v>65</v>
      </c>
      <c r="H7" s="42" t="s">
        <v>66</v>
      </c>
      <c r="I7" s="42" t="s">
        <v>67</v>
      </c>
      <c r="J7" s="42" t="s">
        <v>61</v>
      </c>
      <c r="K7" s="42" t="s">
        <v>62</v>
      </c>
      <c r="L7" s="42" t="s">
        <v>63</v>
      </c>
      <c r="M7" s="42" t="s">
        <v>64</v>
      </c>
      <c r="N7" s="42" t="s">
        <v>65</v>
      </c>
      <c r="O7" s="42" t="s">
        <v>66</v>
      </c>
      <c r="P7" s="42" t="s">
        <v>67</v>
      </c>
      <c r="Q7" s="42" t="s">
        <v>61</v>
      </c>
      <c r="R7" s="42" t="s">
        <v>62</v>
      </c>
      <c r="S7" s="42" t="s">
        <v>63</v>
      </c>
      <c r="T7" s="42" t="s">
        <v>64</v>
      </c>
      <c r="U7" s="42" t="s">
        <v>65</v>
      </c>
      <c r="V7" s="42" t="s">
        <v>66</v>
      </c>
      <c r="W7" s="42" t="s">
        <v>67</v>
      </c>
      <c r="X7" s="42" t="s">
        <v>61</v>
      </c>
      <c r="Y7" s="42" t="s">
        <v>62</v>
      </c>
      <c r="Z7" s="42" t="s">
        <v>63</v>
      </c>
      <c r="AA7" s="42" t="s">
        <v>64</v>
      </c>
      <c r="AB7" s="42" t="s">
        <v>65</v>
      </c>
      <c r="AC7" s="42" t="s">
        <v>66</v>
      </c>
      <c r="AD7" s="42" t="s">
        <v>67</v>
      </c>
      <c r="AE7" s="42" t="s">
        <v>61</v>
      </c>
      <c r="AF7" s="42" t="s">
        <v>62</v>
      </c>
      <c r="AG7" s="42" t="s">
        <v>63</v>
      </c>
      <c r="AH7" s="41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3"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v>0</v>
      </c>
    </row>
    <row r="15" spans="2:34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AH15" s="3">
        <v>0</v>
      </c>
    </row>
    <row r="16" spans="2:34" ht="30" customHeight="1">
      <c r="B16" s="35" t="s">
        <v>46</v>
      </c>
      <c r="AH16" s="3">
        <v>0</v>
      </c>
    </row>
  </sheetData>
  <mergeCells count="6">
    <mergeCell ref="D4:E4"/>
    <mergeCell ref="G4:I4"/>
    <mergeCell ref="K4:L4"/>
    <mergeCell ref="O4:R4"/>
    <mergeCell ref="T4:W4"/>
    <mergeCell ref="C6:AF6"/>
  </mergeCells>
  <phoneticPr fontId="34" type="noConversion"/>
  <conditionalFormatting sqref="C9:AG16">
    <cfRule type="expression" dxfId="5" priority="2" stopIfTrue="1">
      <formula>C9="C"</formula>
    </cfRule>
    <cfRule type="expression" dxfId="4" priority="3" stopIfTrue="1">
      <formula>C9="R"</formula>
    </cfRule>
  </conditionalFormatting>
  <conditionalFormatting sqref="AH9:AH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{73C749AE-0177-45A4-BF6C-40DEDCD1AD30}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3C749AE-0177-45A4-BF6C-40DEDCD1AD30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theme="4" tint="0.499984740745262"/>
  </sheetPr>
  <dimension ref="B1:AH16"/>
  <sheetViews>
    <sheetView showGridLines="0" topLeftCell="A4" zoomScaleNormal="100" workbookViewId="0">
      <selection activeCell="B12" sqref="B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1" t="s">
        <v>50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40" t="s">
        <v>4</v>
      </c>
      <c r="H4" s="39"/>
      <c r="I4" s="39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</f>
        <v>2025</v>
      </c>
    </row>
    <row r="7" spans="2:34" ht="30" customHeight="1">
      <c r="B7" s="4"/>
      <c r="C7" s="17" t="str">
        <f>TEXT(WEEKDAY(DATE(CalendarYear,3,1),1),"jjj")</f>
        <v>sam</v>
      </c>
      <c r="D7" s="17" t="str">
        <f>TEXT(WEEKDAY(DATE(CalendarYear,3,2),1),"jjj")</f>
        <v>dim</v>
      </c>
      <c r="E7" s="17" t="str">
        <f>TEXT(WEEKDAY(DATE(CalendarYear,3,3),1),"jjj")</f>
        <v>lun</v>
      </c>
      <c r="F7" s="17" t="str">
        <f>TEXT(WEEKDAY(DATE(CalendarYear,3,4),1),"jjj")</f>
        <v>mar</v>
      </c>
      <c r="G7" s="17" t="str">
        <f>TEXT(WEEKDAY(DATE(CalendarYear,3,5),1),"jjj")</f>
        <v>mer</v>
      </c>
      <c r="H7" s="17" t="str">
        <f>TEXT(WEEKDAY(DATE(CalendarYear,3,6),1),"jjj")</f>
        <v>jeu</v>
      </c>
      <c r="I7" s="17" t="str">
        <f>TEXT(WEEKDAY(DATE(CalendarYear,3,7),1),"jjj")</f>
        <v>ven</v>
      </c>
      <c r="J7" s="17" t="str">
        <f>TEXT(WEEKDAY(DATE(CalendarYear,3,8),1),"jjj")</f>
        <v>sam</v>
      </c>
      <c r="K7" s="17" t="str">
        <f>TEXT(WEEKDAY(DATE(CalendarYear,3,9),1),"jjj")</f>
        <v>dim</v>
      </c>
      <c r="L7" s="17" t="str">
        <f>TEXT(WEEKDAY(DATE(CalendarYear,3,10),1),"jjj")</f>
        <v>lun</v>
      </c>
      <c r="M7" s="17" t="str">
        <f>TEXT(WEEKDAY(DATE(CalendarYear,3,11),1),"jjj")</f>
        <v>mar</v>
      </c>
      <c r="N7" s="17" t="str">
        <f>TEXT(WEEKDAY(DATE(CalendarYear,3,12),1),"jjj")</f>
        <v>mer</v>
      </c>
      <c r="O7" s="17" t="str">
        <f>TEXT(WEEKDAY(DATE(CalendarYear,3,13),1),"jjj")</f>
        <v>jeu</v>
      </c>
      <c r="P7" s="17" t="str">
        <f>TEXT(WEEKDAY(DATE(CalendarYear,3,14),1),"jjj")</f>
        <v>ven</v>
      </c>
      <c r="Q7" s="17" t="str">
        <f>TEXT(WEEKDAY(DATE(CalendarYear,3,15),1),"jjj")</f>
        <v>sam</v>
      </c>
      <c r="R7" s="17" t="str">
        <f>TEXT(WEEKDAY(DATE(CalendarYear,3,16),1),"jjj")</f>
        <v>dim</v>
      </c>
      <c r="S7" s="17" t="str">
        <f>TEXT(WEEKDAY(DATE(CalendarYear,3,17),1),"jjj")</f>
        <v>lun</v>
      </c>
      <c r="T7" s="17" t="str">
        <f>TEXT(WEEKDAY(DATE(CalendarYear,3,18),1),"jjj")</f>
        <v>mar</v>
      </c>
      <c r="U7" s="17" t="str">
        <f>TEXT(WEEKDAY(DATE(CalendarYear,3,19),1),"jjj")</f>
        <v>mer</v>
      </c>
      <c r="V7" s="17" t="str">
        <f>TEXT(WEEKDAY(DATE(CalendarYear,3,20),1),"jjj")</f>
        <v>jeu</v>
      </c>
      <c r="W7" s="17" t="str">
        <f>TEXT(WEEKDAY(DATE(CalendarYear,3,21),1),"jjj")</f>
        <v>ven</v>
      </c>
      <c r="X7" s="17" t="str">
        <f>TEXT(WEEKDAY(DATE(CalendarYear,3,22),1),"jjj")</f>
        <v>sam</v>
      </c>
      <c r="Y7" s="17" t="str">
        <f>TEXT(WEEKDAY(DATE(CalendarYear,3,23),1),"jjj")</f>
        <v>dim</v>
      </c>
      <c r="Z7" s="17" t="str">
        <f>TEXT(WEEKDAY(DATE(CalendarYear,3,24),1),"jjj")</f>
        <v>lun</v>
      </c>
      <c r="AA7" s="17" t="str">
        <f>TEXT(WEEKDAY(DATE(CalendarYear,3,25),1),"jjj")</f>
        <v>mar</v>
      </c>
      <c r="AB7" s="17" t="str">
        <f>TEXT(WEEKDAY(DATE(CalendarYear,3,26),1),"jjj")</f>
        <v>mer</v>
      </c>
      <c r="AC7" s="17" t="str">
        <f>TEXT(WEEKDAY(DATE(CalendarYear,3,27),1),"jjj")</f>
        <v>jeu</v>
      </c>
      <c r="AD7" s="17" t="str">
        <f>TEXT(WEEKDAY(DATE(CalendarYear,3,28),1),"jjj")</f>
        <v>ven</v>
      </c>
      <c r="AE7" s="17" t="str">
        <f>TEXT(WEEKDAY(DATE(CalendarYear,3,29),1),"jjj")</f>
        <v>sam</v>
      </c>
      <c r="AF7" s="17" t="str">
        <f>TEXT(WEEKDAY(DATE(CalendarYear,3,30),1),"jjj")</f>
        <v>dim</v>
      </c>
      <c r="AG7" s="17" t="str">
        <f>TEXT(WEEKDAY(DATE(CalendarYear,3,31),1),"jjj")</f>
        <v>lun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COUNTA(Mars[[#This Row],[1]:[31]])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COUNTA(Mars[[#This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COUNTA(Mars[[#This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COUNTA(Mars[[#This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COUNTA(Mars[[#This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COUNTA(Mars[[#This Row],[1]:[31]])</f>
        <v>0</v>
      </c>
    </row>
    <row r="15" spans="2:34" ht="30" customHeight="1">
      <c r="B15" s="2" t="s">
        <v>45</v>
      </c>
      <c r="AG15" s="29"/>
      <c r="AH15" s="29">
        <f>COUNTA(Mars[[#This Row],[1]:[31]])</f>
        <v>0</v>
      </c>
    </row>
    <row r="16" spans="2:34" ht="30" customHeight="1">
      <c r="B16" s="35" t="s">
        <v>46</v>
      </c>
      <c r="AG16" s="29"/>
      <c r="AH16" s="29">
        <f>COUNTA(Mars[[#This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75" priority="8" stopIfTrue="1">
      <formula>C9="C"</formula>
    </cfRule>
    <cfRule type="expression" dxfId="74" priority="9" stopIfTrue="1">
      <formula>C9="R"</formula>
    </cfRule>
  </conditionalFormatting>
  <conditionalFormatting sqref="AH9:AH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{7C2B6C3E-666E-4369-8C57-FD32A7D03A3C}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C2B6C3E-666E-4369-8C57-FD32A7D03A3C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E3D4-25BF-4D62-AE34-CB952A755330}">
  <sheetPr>
    <tabColor theme="6" tint="0.39997558519241921"/>
  </sheetPr>
  <dimension ref="B1:AG16"/>
  <sheetViews>
    <sheetView showGridLines="0" topLeftCell="A5" zoomScaleNormal="100" workbookViewId="0">
      <selection activeCell="O12" sqref="O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" width="4.88671875" customWidth="1"/>
    <col min="4" max="32" width="4.6640625" customWidth="1"/>
    <col min="33" max="33" width="18" customWidth="1"/>
    <col min="34" max="34" width="2.6640625" customWidth="1"/>
  </cols>
  <sheetData>
    <row r="1" spans="2:33" ht="50.1" customHeight="1">
      <c r="B1" s="20"/>
    </row>
    <row r="2" spans="2:33" ht="100.35" customHeight="1">
      <c r="B2" s="19" t="s">
        <v>59</v>
      </c>
    </row>
    <row r="3" spans="2:33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2:33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3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2:33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4">
        <f>CalendarYear+2</f>
        <v>2027</v>
      </c>
    </row>
    <row r="7" spans="2:33" ht="30" customHeight="1">
      <c r="B7" s="4"/>
      <c r="C7" s="42" t="s">
        <v>61</v>
      </c>
      <c r="D7" s="42" t="s">
        <v>62</v>
      </c>
      <c r="E7" s="42" t="s">
        <v>63</v>
      </c>
      <c r="F7" s="42" t="s">
        <v>64</v>
      </c>
      <c r="G7" s="42" t="s">
        <v>65</v>
      </c>
      <c r="H7" s="42" t="s">
        <v>66</v>
      </c>
      <c r="I7" s="42" t="s">
        <v>67</v>
      </c>
      <c r="J7" s="42" t="s">
        <v>61</v>
      </c>
      <c r="K7" s="42" t="s">
        <v>62</v>
      </c>
      <c r="L7" s="42" t="s">
        <v>63</v>
      </c>
      <c r="M7" s="42" t="s">
        <v>64</v>
      </c>
      <c r="N7" s="42" t="s">
        <v>65</v>
      </c>
      <c r="O7" s="42" t="s">
        <v>66</v>
      </c>
      <c r="P7" s="42" t="s">
        <v>67</v>
      </c>
      <c r="Q7" s="42" t="s">
        <v>61</v>
      </c>
      <c r="R7" s="42" t="s">
        <v>62</v>
      </c>
      <c r="S7" s="42" t="s">
        <v>63</v>
      </c>
      <c r="T7" s="42" t="s">
        <v>64</v>
      </c>
      <c r="U7" s="42" t="s">
        <v>65</v>
      </c>
      <c r="V7" s="42" t="s">
        <v>66</v>
      </c>
      <c r="W7" s="42" t="s">
        <v>67</v>
      </c>
      <c r="X7" s="42" t="s">
        <v>61</v>
      </c>
      <c r="Y7" s="42" t="s">
        <v>62</v>
      </c>
      <c r="Z7" s="42" t="s">
        <v>63</v>
      </c>
      <c r="AA7" s="42" t="s">
        <v>64</v>
      </c>
      <c r="AB7" s="42" t="s">
        <v>65</v>
      </c>
      <c r="AC7" s="42" t="s">
        <v>66</v>
      </c>
      <c r="AD7" s="42" t="s">
        <v>67</v>
      </c>
      <c r="AE7" s="42" t="s">
        <v>61</v>
      </c>
      <c r="AF7" s="42" t="s">
        <v>62</v>
      </c>
      <c r="AG7" s="41"/>
    </row>
    <row r="8" spans="2:33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8" t="s">
        <v>38</v>
      </c>
    </row>
    <row r="9" spans="2:33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3">
        <v>0</v>
      </c>
    </row>
    <row r="10" spans="2:33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3">
        <v>0</v>
      </c>
    </row>
    <row r="11" spans="2:33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3">
        <v>0</v>
      </c>
    </row>
    <row r="12" spans="2:33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3">
        <v>0</v>
      </c>
    </row>
    <row r="13" spans="2:33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3">
        <v>0</v>
      </c>
    </row>
    <row r="14" spans="2:33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3">
        <v>0</v>
      </c>
    </row>
    <row r="15" spans="2:33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AG15" s="3">
        <v>0</v>
      </c>
    </row>
    <row r="16" spans="2:33" ht="30" customHeight="1">
      <c r="B16" s="35" t="s">
        <v>46</v>
      </c>
      <c r="AG16" s="3">
        <v>0</v>
      </c>
    </row>
  </sheetData>
  <mergeCells count="6">
    <mergeCell ref="D4:E4"/>
    <mergeCell ref="G4:I4"/>
    <mergeCell ref="K4:L4"/>
    <mergeCell ref="O4:R4"/>
    <mergeCell ref="T4:W4"/>
    <mergeCell ref="C6:AF6"/>
  </mergeCells>
  <conditionalFormatting sqref="C9:AF16">
    <cfRule type="expression" dxfId="3" priority="2" stopIfTrue="1">
      <formula>C9="C"</formula>
    </cfRule>
    <cfRule type="expression" dxfId="2" priority="3" stopIfTrue="1">
      <formula>C9="R"</formula>
    </cfRule>
  </conditionalFormatting>
  <conditionalFormatting sqref="AG9:AG16">
    <cfRule type="dataBar" priority="1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{7BC87739-1A91-4B73-9F0E-0D0A2BFFC523}</x14:id>
        </ext>
      </extLst>
    </cfRule>
  </conditionalFormatting>
  <pageMargins left="0.7" right="0.7" top="0.75" bottom="0.75" header="0.3" footer="0.3"/>
  <pageSetup paperSize="9" fitToHeight="0" orientation="portrait" verticalDpi="429496729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BC87739-1A91-4B73-9F0E-0D0A2BFFC523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AG9:AG16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theme="4" tint="0.499984740745262"/>
  </sheetPr>
  <dimension ref="B1:AH16"/>
  <sheetViews>
    <sheetView showGridLines="0" topLeftCell="A4" zoomScaleNormal="100" workbookViewId="0">
      <selection activeCell="B12" sqref="B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2" t="s">
        <v>51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</f>
        <v>2025</v>
      </c>
    </row>
    <row r="7" spans="2:34" ht="30" customHeight="1">
      <c r="B7" s="4"/>
      <c r="C7" s="17" t="str">
        <f>TEXT(WEEKDAY(DATE(CalendarYear,4,1),1),"jjj")</f>
        <v>mar</v>
      </c>
      <c r="D7" s="17" t="str">
        <f>TEXT(WEEKDAY(DATE(CalendarYear,4,2),1),"jjj")</f>
        <v>mer</v>
      </c>
      <c r="E7" s="17" t="str">
        <f>TEXT(WEEKDAY(DATE(CalendarYear,4,3),1),"jjj")</f>
        <v>jeu</v>
      </c>
      <c r="F7" s="17" t="str">
        <f>TEXT(WEEKDAY(DATE(CalendarYear,4,4),1),"jjj")</f>
        <v>ven</v>
      </c>
      <c r="G7" s="17" t="str">
        <f>TEXT(WEEKDAY(DATE(CalendarYear,4,5),1),"jjj")</f>
        <v>sam</v>
      </c>
      <c r="H7" s="17" t="str">
        <f>TEXT(WEEKDAY(DATE(CalendarYear,4,6),1),"jjj")</f>
        <v>dim</v>
      </c>
      <c r="I7" s="17" t="str">
        <f>TEXT(WEEKDAY(DATE(CalendarYear,4,7),1),"jjj")</f>
        <v>lun</v>
      </c>
      <c r="J7" s="17" t="str">
        <f>TEXT(WEEKDAY(DATE(CalendarYear,4,8),1),"jjj")</f>
        <v>mar</v>
      </c>
      <c r="K7" s="17" t="str">
        <f>TEXT(WEEKDAY(DATE(CalendarYear,4,9),1),"jjj")</f>
        <v>mer</v>
      </c>
      <c r="L7" s="17" t="str">
        <f>TEXT(WEEKDAY(DATE(CalendarYear,4,10),1),"jjj")</f>
        <v>jeu</v>
      </c>
      <c r="M7" s="17" t="str">
        <f>TEXT(WEEKDAY(DATE(CalendarYear,4,11),1),"jjj")</f>
        <v>ven</v>
      </c>
      <c r="N7" s="17" t="str">
        <f>TEXT(WEEKDAY(DATE(CalendarYear,4,12),1),"jjj")</f>
        <v>sam</v>
      </c>
      <c r="O7" s="17" t="str">
        <f>TEXT(WEEKDAY(DATE(CalendarYear,4,13),1),"jjj")</f>
        <v>dim</v>
      </c>
      <c r="P7" s="17" t="str">
        <f>TEXT(WEEKDAY(DATE(CalendarYear,4,14),1),"jjj")</f>
        <v>lun</v>
      </c>
      <c r="Q7" s="17" t="str">
        <f>TEXT(WEEKDAY(DATE(CalendarYear,4,15),1),"jjj")</f>
        <v>mar</v>
      </c>
      <c r="R7" s="17" t="str">
        <f>TEXT(WEEKDAY(DATE(CalendarYear,4,16),1),"jjj")</f>
        <v>mer</v>
      </c>
      <c r="S7" s="17" t="str">
        <f>TEXT(WEEKDAY(DATE(CalendarYear,4,17),1),"jjj")</f>
        <v>jeu</v>
      </c>
      <c r="T7" s="17" t="str">
        <f>TEXT(WEEKDAY(DATE(CalendarYear,4,18),1),"jjj")</f>
        <v>ven</v>
      </c>
      <c r="U7" s="17" t="str">
        <f>TEXT(WEEKDAY(DATE(CalendarYear,4,19),1),"jjj")</f>
        <v>sam</v>
      </c>
      <c r="V7" s="17" t="str">
        <f>TEXT(WEEKDAY(DATE(CalendarYear,4,20),1),"jjj")</f>
        <v>dim</v>
      </c>
      <c r="W7" s="17" t="str">
        <f>TEXT(WEEKDAY(DATE(CalendarYear,4,21),1),"jjj")</f>
        <v>lun</v>
      </c>
      <c r="X7" s="17" t="str">
        <f>TEXT(WEEKDAY(DATE(CalendarYear,4,22),1),"jjj")</f>
        <v>mar</v>
      </c>
      <c r="Y7" s="17" t="str">
        <f>TEXT(WEEKDAY(DATE(CalendarYear,4,23),1),"jjj")</f>
        <v>mer</v>
      </c>
      <c r="Z7" s="17" t="str">
        <f>TEXT(WEEKDAY(DATE(CalendarYear,4,24),1),"jjj")</f>
        <v>jeu</v>
      </c>
      <c r="AA7" s="17" t="str">
        <f>TEXT(WEEKDAY(DATE(CalendarYear,4,25),1),"jjj")</f>
        <v>ven</v>
      </c>
      <c r="AB7" s="17" t="str">
        <f>TEXT(WEEKDAY(DATE(CalendarYear,4,26),1),"jjj")</f>
        <v>sam</v>
      </c>
      <c r="AC7" s="17" t="str">
        <f>TEXT(WEEKDAY(DATE(CalendarYear,4,27),1),"jjj")</f>
        <v>dim</v>
      </c>
      <c r="AD7" s="17" t="str">
        <f>TEXT(WEEKDAY(DATE(CalendarYear,4,28),1),"jjj")</f>
        <v>lun</v>
      </c>
      <c r="AE7" s="17" t="str">
        <f>TEXT(WEEKDAY(DATE(CalendarYear,4,29),1),"jjj")</f>
        <v>mar</v>
      </c>
      <c r="AF7" s="17" t="str">
        <f>TEXT(WEEKDAY(DATE(CalendarYear,4,30),1),"jjj")</f>
        <v>mer</v>
      </c>
      <c r="AG7" s="17"/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48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COUNTA(March5[[#This Row],[1]:[ 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COUNTA(March5[[#This Row],[1]:[ 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COUNTA(March5[[#This Row],[1]:[ 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COUNTA(March5[[#This Row],[1]:[ 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COUNTA(March5[[#This Row],[1]:[ 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COUNTA(March5[[#This Row],[1]:[ ]])</f>
        <v>0</v>
      </c>
    </row>
    <row r="15" spans="2:34" ht="30" customHeight="1">
      <c r="B15" s="2" t="s">
        <v>45</v>
      </c>
      <c r="AG15" s="29"/>
      <c r="AH15" s="29">
        <f>COUNTA(March5[[#This Row],[1]:[ ]])</f>
        <v>0</v>
      </c>
    </row>
    <row r="16" spans="2:34" ht="30" customHeight="1">
      <c r="B16" s="35" t="s">
        <v>46</v>
      </c>
      <c r="AG16" s="29"/>
      <c r="AH16" s="29">
        <f>COUNTA(March5[[#This Row],[1]:[ 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6" type="noConversion"/>
  <conditionalFormatting sqref="C9:AG16">
    <cfRule type="expression" dxfId="73" priority="8" stopIfTrue="1">
      <formula>C9="C"</formula>
    </cfRule>
    <cfRule type="expression" dxfId="72" priority="9" stopIfTrue="1">
      <formula>C9="R"</formula>
    </cfRule>
  </conditionalFormatting>
  <conditionalFormatting sqref="AH9:AH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{C6C51CE4-E5A5-6548-B677-75BFC57A1AE7}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6C51CE4-E5A5-6548-B677-75BFC57A1AE7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theme="4" tint="0.499984740745262"/>
  </sheetPr>
  <dimension ref="B1:AH16"/>
  <sheetViews>
    <sheetView showGridLines="0" topLeftCell="A4" zoomScaleNormal="100" workbookViewId="0">
      <selection activeCell="B12" sqref="B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2" t="s">
        <v>52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</f>
        <v>2025</v>
      </c>
    </row>
    <row r="7" spans="2:34" ht="30" customHeight="1">
      <c r="B7" s="4"/>
      <c r="C7" s="17" t="str">
        <f>TEXT(WEEKDAY(DATE(CalendarYear,5,1),1),"jjj")</f>
        <v>jeu</v>
      </c>
      <c r="D7" s="17" t="str">
        <f>TEXT(WEEKDAY(DATE(CalendarYear,5,2),1),"jjj")</f>
        <v>ven</v>
      </c>
      <c r="E7" s="17" t="str">
        <f>TEXT(WEEKDAY(DATE(CalendarYear,5,3),1),"jjj")</f>
        <v>sam</v>
      </c>
      <c r="F7" s="17" t="str">
        <f>TEXT(WEEKDAY(DATE(CalendarYear,5,4),1),"jjj")</f>
        <v>dim</v>
      </c>
      <c r="G7" s="17" t="str">
        <f>TEXT(WEEKDAY(DATE(CalendarYear,5,5),1),"jjj")</f>
        <v>lun</v>
      </c>
      <c r="H7" s="17" t="str">
        <f>TEXT(WEEKDAY(DATE(CalendarYear,5,6),1),"jjj")</f>
        <v>mar</v>
      </c>
      <c r="I7" s="17" t="str">
        <f>TEXT(WEEKDAY(DATE(CalendarYear,5,7),1),"jjj")</f>
        <v>mer</v>
      </c>
      <c r="J7" s="17" t="str">
        <f>TEXT(WEEKDAY(DATE(CalendarYear,5,8),1),"jjj")</f>
        <v>jeu</v>
      </c>
      <c r="K7" s="17" t="str">
        <f>TEXT(WEEKDAY(DATE(CalendarYear,5,9),1),"jjj")</f>
        <v>ven</v>
      </c>
      <c r="L7" s="17" t="str">
        <f>TEXT(WEEKDAY(DATE(CalendarYear,5,10),1),"jjj")</f>
        <v>sam</v>
      </c>
      <c r="M7" s="17" t="str">
        <f>TEXT(WEEKDAY(DATE(CalendarYear,5,11),1),"jjj")</f>
        <v>dim</v>
      </c>
      <c r="N7" s="17" t="str">
        <f>TEXT(WEEKDAY(DATE(CalendarYear,5,12),1),"jjj")</f>
        <v>lun</v>
      </c>
      <c r="O7" s="17" t="str">
        <f>TEXT(WEEKDAY(DATE(CalendarYear,5,13),1),"jjj")</f>
        <v>mar</v>
      </c>
      <c r="P7" s="17" t="str">
        <f>TEXT(WEEKDAY(DATE(CalendarYear,5,14),1),"jjj")</f>
        <v>mer</v>
      </c>
      <c r="Q7" s="17" t="str">
        <f>TEXT(WEEKDAY(DATE(CalendarYear,5,15),1),"jjj")</f>
        <v>jeu</v>
      </c>
      <c r="R7" s="17" t="str">
        <f>TEXT(WEEKDAY(DATE(CalendarYear,5,16),1),"jjj")</f>
        <v>ven</v>
      </c>
      <c r="S7" s="17" t="str">
        <f>TEXT(WEEKDAY(DATE(CalendarYear,5,17),1),"jjj")</f>
        <v>sam</v>
      </c>
      <c r="T7" s="17" t="str">
        <f>TEXT(WEEKDAY(DATE(CalendarYear,5,18),1),"jjj")</f>
        <v>dim</v>
      </c>
      <c r="U7" s="17" t="str">
        <f>TEXT(WEEKDAY(DATE(CalendarYear,5,19),1),"jjj")</f>
        <v>lun</v>
      </c>
      <c r="V7" s="17" t="str">
        <f>TEXT(WEEKDAY(DATE(CalendarYear,5,20),1),"jjj")</f>
        <v>mar</v>
      </c>
      <c r="W7" s="17" t="str">
        <f>TEXT(WEEKDAY(DATE(CalendarYear,5,21),1),"jjj")</f>
        <v>mer</v>
      </c>
      <c r="X7" s="17" t="str">
        <f>TEXT(WEEKDAY(DATE(CalendarYear,5,22),1),"jjj")</f>
        <v>jeu</v>
      </c>
      <c r="Y7" s="17" t="str">
        <f>TEXT(WEEKDAY(DATE(CalendarYear,5,23),1),"jjj")</f>
        <v>ven</v>
      </c>
      <c r="Z7" s="17" t="str">
        <f>TEXT(WEEKDAY(DATE(CalendarYear,5,24),1),"jjj")</f>
        <v>sam</v>
      </c>
      <c r="AA7" s="17" t="str">
        <f>TEXT(WEEKDAY(DATE(CalendarYear,5,25),1),"jjj")</f>
        <v>dim</v>
      </c>
      <c r="AB7" s="17" t="str">
        <f>TEXT(WEEKDAY(DATE(CalendarYear,5,26),1),"jjj")</f>
        <v>lun</v>
      </c>
      <c r="AC7" s="17" t="str">
        <f>TEXT(WEEKDAY(DATE(CalendarYear,5,27),1),"jjj")</f>
        <v>mar</v>
      </c>
      <c r="AD7" s="17" t="str">
        <f>TEXT(WEEKDAY(DATE(CalendarYear,5,28),1),"jjj")</f>
        <v>mer</v>
      </c>
      <c r="AE7" s="17" t="str">
        <f>TEXT(WEEKDAY(DATE(CalendarYear,5,29),1),"jjj")</f>
        <v>jeu</v>
      </c>
      <c r="AF7" s="17" t="str">
        <f>TEXT(WEEKDAY(DATE(CalendarYear,5,30),1),"jjj")</f>
        <v>ven</v>
      </c>
      <c r="AG7" s="17" t="str">
        <f>TEXT(WEEKDAY(DATE(CalendarYear,5,31),1),"jjj")</f>
        <v>sam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 t="s">
        <v>1</v>
      </c>
      <c r="P9" s="1" t="s">
        <v>1</v>
      </c>
      <c r="Q9" s="1" t="s">
        <v>1</v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COUNTA(March58[[#This Row],[1]:[31]])</f>
        <v>3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 t="s">
        <v>1</v>
      </c>
      <c r="Z10" s="1" t="s">
        <v>1</v>
      </c>
      <c r="AA10" s="1" t="s">
        <v>1</v>
      </c>
      <c r="AB10" s="1" t="s">
        <v>1</v>
      </c>
      <c r="AC10" s="1"/>
      <c r="AD10" s="1"/>
      <c r="AE10" s="1"/>
      <c r="AF10" s="1"/>
      <c r="AG10" s="1"/>
      <c r="AH10" s="3">
        <f>COUNTA(March58[[#This Row],[1]:[31]])</f>
        <v>4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 t="s">
        <v>1</v>
      </c>
      <c r="AH11" s="3">
        <f>COUNTA(March58[[#This Row],[1]:[31]])</f>
        <v>1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COUNTA(March58[[#This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 t="s">
        <v>1</v>
      </c>
      <c r="AH13" s="3">
        <f>COUNTA(March58[[#This Row],[1]:[31]])</f>
        <v>1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COUNTA(March58[[#This Row],[1]:[31]])</f>
        <v>0</v>
      </c>
    </row>
    <row r="15" spans="2:34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29"/>
      <c r="AH15" s="29">
        <f>COUNTA(March58[[#This Row],[1]:[31]])</f>
        <v>0</v>
      </c>
    </row>
    <row r="16" spans="2:34" ht="30" customHeight="1">
      <c r="B16" s="35" t="s">
        <v>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 t="s">
        <v>3</v>
      </c>
      <c r="AA16" s="1" t="s">
        <v>3</v>
      </c>
      <c r="AB16" s="1"/>
      <c r="AC16" s="1"/>
      <c r="AD16" s="1"/>
      <c r="AE16" s="1"/>
      <c r="AF16" s="1"/>
      <c r="AG16" s="29"/>
      <c r="AH16" s="29">
        <f>COUNTA(March58[[#This Row],[1]:[31]])</f>
        <v>2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71" priority="11" stopIfTrue="1">
      <formula>C9="C"</formula>
    </cfRule>
    <cfRule type="expression" dxfId="70" priority="12" stopIfTrue="1">
      <formula>C9="R"</formula>
    </cfRule>
  </conditionalFormatting>
  <conditionalFormatting sqref="AH9:AH16">
    <cfRule type="dataBar" priority="10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{A375B1A4-CE4E-6D4B-BAE6-14354F30C96E}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375B1A4-CE4E-6D4B-BAE6-14354F30C96E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tabColor theme="8"/>
  </sheetPr>
  <dimension ref="B1:AH16"/>
  <sheetViews>
    <sheetView showGridLines="0" topLeftCell="A6" zoomScaleNormal="100" workbookViewId="0">
      <selection activeCell="O15" sqref="O15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5" t="s">
        <v>53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</f>
        <v>2025</v>
      </c>
    </row>
    <row r="7" spans="2:34" ht="30" customHeight="1">
      <c r="B7" s="4"/>
      <c r="C7" s="17" t="str">
        <f>TEXT(WEEKDAY(DATE(CalendarYear,6,1),1),"jjj")</f>
        <v>dim</v>
      </c>
      <c r="D7" s="17" t="str">
        <f>TEXT(WEEKDAY(DATE(CalendarYear,6,2),1),"jjj")</f>
        <v>lun</v>
      </c>
      <c r="E7" s="17" t="str">
        <f>TEXT(WEEKDAY(DATE(CalendarYear,6,3),1),"jjj")</f>
        <v>mar</v>
      </c>
      <c r="F7" s="17" t="str">
        <f>TEXT(WEEKDAY(DATE(CalendarYear,6,4),1),"jjj")</f>
        <v>mer</v>
      </c>
      <c r="G7" s="17" t="str">
        <f>TEXT(WEEKDAY(DATE(CalendarYear,6,5),1),"jjj")</f>
        <v>jeu</v>
      </c>
      <c r="H7" s="17" t="str">
        <f>TEXT(WEEKDAY(DATE(CalendarYear,6,6),1),"jjj")</f>
        <v>ven</v>
      </c>
      <c r="I7" s="17" t="str">
        <f>TEXT(WEEKDAY(DATE(CalendarYear,6,7),1),"jjj")</f>
        <v>sam</v>
      </c>
      <c r="J7" s="17" t="str">
        <f>TEXT(WEEKDAY(DATE(CalendarYear,6,8),1),"jjj")</f>
        <v>dim</v>
      </c>
      <c r="K7" s="17" t="str">
        <f>TEXT(WEEKDAY(DATE(CalendarYear,6,9),1),"jjj")</f>
        <v>lun</v>
      </c>
      <c r="L7" s="17" t="str">
        <f>TEXT(WEEKDAY(DATE(CalendarYear,6,10),1),"jjj")</f>
        <v>mar</v>
      </c>
      <c r="M7" s="17" t="str">
        <f>TEXT(WEEKDAY(DATE(CalendarYear,6,11),1),"jjj")</f>
        <v>mer</v>
      </c>
      <c r="N7" s="17" t="str">
        <f>TEXT(WEEKDAY(DATE(CalendarYear,6,12),1),"jjj")</f>
        <v>jeu</v>
      </c>
      <c r="O7" s="17" t="str">
        <f>TEXT(WEEKDAY(DATE(CalendarYear,6,13),1),"jjj")</f>
        <v>ven</v>
      </c>
      <c r="P7" s="17" t="str">
        <f>TEXT(WEEKDAY(DATE(CalendarYear,6,14),1),"jjj")</f>
        <v>sam</v>
      </c>
      <c r="Q7" s="17" t="str">
        <f>TEXT(WEEKDAY(DATE(CalendarYear,6,15),1),"jjj")</f>
        <v>dim</v>
      </c>
      <c r="R7" s="17" t="str">
        <f>TEXT(WEEKDAY(DATE(CalendarYear,6,16),1),"jjj")</f>
        <v>lun</v>
      </c>
      <c r="S7" s="17" t="str">
        <f>TEXT(WEEKDAY(DATE(CalendarYear,6,17),1),"jjj")</f>
        <v>mar</v>
      </c>
      <c r="T7" s="17" t="str">
        <f>TEXT(WEEKDAY(DATE(CalendarYear,6,18),1),"jjj")</f>
        <v>mer</v>
      </c>
      <c r="U7" s="17" t="str">
        <f>TEXT(WEEKDAY(DATE(CalendarYear,6,19),1),"jjj")</f>
        <v>jeu</v>
      </c>
      <c r="V7" s="17" t="str">
        <f>TEXT(WEEKDAY(DATE(CalendarYear,6,20),1),"jjj")</f>
        <v>ven</v>
      </c>
      <c r="W7" s="17" t="str">
        <f>TEXT(WEEKDAY(DATE(CalendarYear,6,21),1),"jjj")</f>
        <v>sam</v>
      </c>
      <c r="X7" s="17" t="str">
        <f>TEXT(WEEKDAY(DATE(CalendarYear,6,22),1),"jjj")</f>
        <v>dim</v>
      </c>
      <c r="Y7" s="17" t="str">
        <f>TEXT(WEEKDAY(DATE(CalendarYear,6,23),1),"jjj")</f>
        <v>lun</v>
      </c>
      <c r="Z7" s="17" t="str">
        <f>TEXT(WEEKDAY(DATE(CalendarYear,6,24),1),"jjj")</f>
        <v>mar</v>
      </c>
      <c r="AA7" s="17" t="str">
        <f>TEXT(WEEKDAY(DATE(CalendarYear,6,25),1),"jjj")</f>
        <v>mer</v>
      </c>
      <c r="AB7" s="17" t="str">
        <f>TEXT(WEEKDAY(DATE(CalendarYear,6,26),1),"jjj")</f>
        <v>jeu</v>
      </c>
      <c r="AC7" s="17" t="str">
        <f>TEXT(WEEKDAY(DATE(CalendarYear,6,27),1),"jjj")</f>
        <v>ven</v>
      </c>
      <c r="AD7" s="17" t="str">
        <f>TEXT(WEEKDAY(DATE(CalendarYear,6,28),1),"jjj")</f>
        <v>sam</v>
      </c>
      <c r="AE7" s="17" t="str">
        <f>TEXT(WEEKDAY(DATE(CalendarYear,6,29),1),"jjj")</f>
        <v>dim</v>
      </c>
      <c r="AF7" s="17" t="str">
        <f>TEXT(WEEKDAY(DATE(CalendarYear,6,30),1),"jjj")</f>
        <v>lun</v>
      </c>
      <c r="AG7" s="17"/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48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COUNTA(Juin[[#This Row],[1]:[ 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1"/>
      <c r="T10" s="1"/>
      <c r="U10" s="1"/>
      <c r="V10" s="1"/>
      <c r="W10" s="1" t="s">
        <v>1</v>
      </c>
      <c r="X10" s="1" t="s">
        <v>1</v>
      </c>
      <c r="Y10" s="1"/>
      <c r="Z10" s="1"/>
      <c r="AA10" s="1"/>
      <c r="AB10" s="1"/>
      <c r="AC10" s="1"/>
      <c r="AD10" s="1"/>
      <c r="AE10" s="1"/>
      <c r="AF10" s="1"/>
      <c r="AG10" s="1"/>
      <c r="AH10" s="3">
        <f>COUNTA(Juin[[#This Row],[1]:[ ]])</f>
        <v>7</v>
      </c>
    </row>
    <row r="11" spans="2:34" ht="30" customHeight="1">
      <c r="B11" s="2" t="s">
        <v>41</v>
      </c>
      <c r="C11" s="1" t="s">
        <v>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 t="s">
        <v>1</v>
      </c>
      <c r="P11" s="1" t="s">
        <v>1</v>
      </c>
      <c r="Q11" s="1" t="s">
        <v>1</v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COUNTA(Juin[[#This Row],[1]:[ ]])</f>
        <v>4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 t="s">
        <v>1</v>
      </c>
      <c r="P12" s="1" t="s">
        <v>1</v>
      </c>
      <c r="Q12" s="1" t="s">
        <v>1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COUNTA(Juin[[#This Row],[1]:[ ]])</f>
        <v>3</v>
      </c>
    </row>
    <row r="13" spans="2:34" ht="30" customHeight="1">
      <c r="B13" s="2" t="s">
        <v>43</v>
      </c>
      <c r="C13" s="1" t="s">
        <v>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 t="s">
        <v>1</v>
      </c>
      <c r="P13" s="1" t="s">
        <v>1</v>
      </c>
      <c r="Q13" s="1" t="s">
        <v>1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COUNTA(Juin[[#This Row],[1]:[ ]])</f>
        <v>4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 t="s">
        <v>1</v>
      </c>
      <c r="P14" s="1" t="s">
        <v>1</v>
      </c>
      <c r="Q14" s="1" t="s">
        <v>1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COUNTA(Juin[[#This Row],[1]:[ ]])</f>
        <v>3</v>
      </c>
    </row>
    <row r="15" spans="2:34" ht="30" customHeight="1">
      <c r="B15" s="2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 t="s">
        <v>1</v>
      </c>
      <c r="O15" s="1" t="s">
        <v>1</v>
      </c>
      <c r="P15" s="1" t="s">
        <v>1</v>
      </c>
      <c r="Q15" s="1" t="s">
        <v>1</v>
      </c>
      <c r="R15" s="1" t="s">
        <v>1</v>
      </c>
      <c r="S15" s="1"/>
      <c r="T15" s="1"/>
      <c r="U15" s="1"/>
      <c r="V15" s="1"/>
      <c r="W15" s="1" t="s">
        <v>1</v>
      </c>
      <c r="X15" s="1" t="s">
        <v>1</v>
      </c>
      <c r="Y15" s="1"/>
      <c r="Z15" s="1"/>
      <c r="AA15" s="1"/>
      <c r="AB15" s="1"/>
      <c r="AC15" s="1"/>
      <c r="AD15" s="1"/>
      <c r="AE15" s="1"/>
      <c r="AF15" s="1"/>
      <c r="AG15" s="29"/>
      <c r="AH15" s="29">
        <f>COUNTA(Juin[[#This Row],[1]:[ ]])</f>
        <v>7</v>
      </c>
    </row>
    <row r="16" spans="2:34" ht="30" customHeight="1">
      <c r="B16" s="2" t="s">
        <v>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 t="s">
        <v>3</v>
      </c>
      <c r="Q16" s="1" t="s">
        <v>3</v>
      </c>
      <c r="R16" s="1"/>
      <c r="S16" s="1"/>
      <c r="T16" s="1"/>
      <c r="U16" s="1"/>
      <c r="V16" s="1" t="s">
        <v>1</v>
      </c>
      <c r="W16" s="1" t="s">
        <v>1</v>
      </c>
      <c r="X16" s="1" t="s">
        <v>1</v>
      </c>
      <c r="Y16" s="1" t="s">
        <v>1</v>
      </c>
      <c r="Z16" s="1" t="s">
        <v>1</v>
      </c>
      <c r="AA16" s="1" t="s">
        <v>1</v>
      </c>
      <c r="AB16" s="1"/>
      <c r="AC16" s="1"/>
      <c r="AD16" s="1" t="s">
        <v>3</v>
      </c>
      <c r="AE16" s="1" t="s">
        <v>3</v>
      </c>
      <c r="AF16" s="1"/>
      <c r="AG16" s="29"/>
      <c r="AH16" s="29">
        <f>COUNTA(Juin[[#This Row],[1]:[ ]])</f>
        <v>10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69" priority="8" stopIfTrue="1">
      <formula>C9="C"</formula>
    </cfRule>
    <cfRule type="expression" dxfId="68" priority="9" stopIfTrue="1">
      <formula>C9="R"</formula>
    </cfRule>
  </conditionalFormatting>
  <conditionalFormatting sqref="AH9:AH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{5E94D469-7B22-408B-924D-8DC8A136AD3B}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E94D469-7B22-408B-924D-8DC8A136AD3B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tabColor theme="8"/>
  </sheetPr>
  <dimension ref="B1:AH16"/>
  <sheetViews>
    <sheetView showGridLines="0" topLeftCell="A6" zoomScaleNormal="100" workbookViewId="0">
      <selection activeCell="B12" sqref="B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6" t="s">
        <v>54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</f>
        <v>2025</v>
      </c>
    </row>
    <row r="7" spans="2:34" ht="30" customHeight="1">
      <c r="B7" s="4"/>
      <c r="C7" s="17" t="str">
        <f>TEXT(WEEKDAY(DATE(CalendarYear,7,1),1),"jjj")</f>
        <v>mar</v>
      </c>
      <c r="D7" s="17" t="str">
        <f>TEXT(WEEKDAY(DATE(CalendarYear,7,2),1),"jjj")</f>
        <v>mer</v>
      </c>
      <c r="E7" s="17" t="str">
        <f>TEXT(WEEKDAY(DATE(CalendarYear,7,3),1),"jjj")</f>
        <v>jeu</v>
      </c>
      <c r="F7" s="17" t="str">
        <f>TEXT(WEEKDAY(DATE(CalendarYear,7,4),1),"jjj")</f>
        <v>ven</v>
      </c>
      <c r="G7" s="17" t="str">
        <f>TEXT(WEEKDAY(DATE(CalendarYear,7,5),1),"jjj")</f>
        <v>sam</v>
      </c>
      <c r="H7" s="17" t="str">
        <f>TEXT(WEEKDAY(DATE(CalendarYear,7,6),1),"jjj")</f>
        <v>dim</v>
      </c>
      <c r="I7" s="17" t="str">
        <f>TEXT(WEEKDAY(DATE(CalendarYear,7,7),1),"jjj")</f>
        <v>lun</v>
      </c>
      <c r="J7" s="17" t="str">
        <f>TEXT(WEEKDAY(DATE(CalendarYear,7,8),1),"jjj")</f>
        <v>mar</v>
      </c>
      <c r="K7" s="17" t="str">
        <f>TEXT(WEEKDAY(DATE(CalendarYear,7,9),1),"jjj")</f>
        <v>mer</v>
      </c>
      <c r="L7" s="17" t="str">
        <f>TEXT(WEEKDAY(DATE(CalendarYear,7,10),1),"jjj")</f>
        <v>jeu</v>
      </c>
      <c r="M7" s="17" t="str">
        <f>TEXT(WEEKDAY(DATE(CalendarYear,7,11),1),"jjj")</f>
        <v>ven</v>
      </c>
      <c r="N7" s="17" t="str">
        <f>TEXT(WEEKDAY(DATE(CalendarYear,7,12),1),"jjj")</f>
        <v>sam</v>
      </c>
      <c r="O7" s="17" t="str">
        <f>TEXT(WEEKDAY(DATE(CalendarYear,7,13),1),"jjj")</f>
        <v>dim</v>
      </c>
      <c r="P7" s="17" t="str">
        <f>TEXT(WEEKDAY(DATE(CalendarYear,7,14),1),"jjj")</f>
        <v>lun</v>
      </c>
      <c r="Q7" s="17" t="str">
        <f>TEXT(WEEKDAY(DATE(CalendarYear,7,15),1),"jjj")</f>
        <v>mar</v>
      </c>
      <c r="R7" s="17" t="str">
        <f>TEXT(WEEKDAY(DATE(CalendarYear,7,16),1),"jjj")</f>
        <v>mer</v>
      </c>
      <c r="S7" s="17" t="str">
        <f>TEXT(WEEKDAY(DATE(CalendarYear,7,17),1),"jjj")</f>
        <v>jeu</v>
      </c>
      <c r="T7" s="17" t="str">
        <f>TEXT(WEEKDAY(DATE(CalendarYear,7,18),1),"jjj")</f>
        <v>ven</v>
      </c>
      <c r="U7" s="17" t="str">
        <f>TEXT(WEEKDAY(DATE(CalendarYear,7,19),1),"jjj")</f>
        <v>sam</v>
      </c>
      <c r="V7" s="17" t="str">
        <f>TEXT(WEEKDAY(DATE(CalendarYear,7,20),1),"jjj")</f>
        <v>dim</v>
      </c>
      <c r="W7" s="17" t="str">
        <f>TEXT(WEEKDAY(DATE(CalendarYear,7,21),1),"jjj")</f>
        <v>lun</v>
      </c>
      <c r="X7" s="17" t="str">
        <f>TEXT(WEEKDAY(DATE(CalendarYear,7,22),1),"jjj")</f>
        <v>mar</v>
      </c>
      <c r="Y7" s="17" t="str">
        <f>TEXT(WEEKDAY(DATE(CalendarYear,7,23),1),"jjj")</f>
        <v>mer</v>
      </c>
      <c r="Z7" s="17" t="str">
        <f>TEXT(WEEKDAY(DATE(CalendarYear,7,24),1),"jjj")</f>
        <v>jeu</v>
      </c>
      <c r="AA7" s="17" t="str">
        <f>TEXT(WEEKDAY(DATE(CalendarYear,7,25),1),"jjj")</f>
        <v>ven</v>
      </c>
      <c r="AB7" s="17" t="str">
        <f>TEXT(WEEKDAY(DATE(CalendarYear,7,26),1),"jjj")</f>
        <v>sam</v>
      </c>
      <c r="AC7" s="17" t="str">
        <f>TEXT(WEEKDAY(DATE(CalendarYear,7,27),1),"jjj")</f>
        <v>dim</v>
      </c>
      <c r="AD7" s="17" t="str">
        <f>TEXT(WEEKDAY(DATE(CalendarYear,7,28),1),"jjj")</f>
        <v>lun</v>
      </c>
      <c r="AE7" s="17" t="str">
        <f>TEXT(WEEKDAY(DATE(CalendarYear,7,29),1),"jjj")</f>
        <v>mar</v>
      </c>
      <c r="AF7" s="17" t="str">
        <f>TEXT(WEEKDAY(DATE(CalendarYear,7,30),1),"jjj")</f>
        <v>mer</v>
      </c>
      <c r="AG7" s="17" t="str">
        <f>TEXT(WEEKDAY(DATE(CalendarYear,7,31),1),"jjj")</f>
        <v>jeu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COUNTA(Juillet[[#This Row],[1]:[31]])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COUNTA(Juillet[[#This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COUNTA(Juillet[[#This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COUNTA(Juillet[[#This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COUNTA(Juillet[[#This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COUNTA(Juillet[[#This Row],[1]:[31]])</f>
        <v>0</v>
      </c>
    </row>
    <row r="15" spans="2:34" ht="30" customHeight="1">
      <c r="B15" s="2" t="s">
        <v>45</v>
      </c>
      <c r="AG15" s="29"/>
      <c r="AH15" s="29">
        <f>COUNTA(Juillet[[#This Row],[1]:[31]])</f>
        <v>0</v>
      </c>
    </row>
    <row r="16" spans="2:34" ht="30" customHeight="1">
      <c r="B16" s="35" t="s">
        <v>46</v>
      </c>
      <c r="AG16" s="29"/>
      <c r="AH16" s="29">
        <f>COUNTA(Juillet[[#This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67" priority="8" stopIfTrue="1">
      <formula>C9="C"</formula>
    </cfRule>
    <cfRule type="expression" dxfId="66" priority="9" stopIfTrue="1">
      <formula>C9="R"</formula>
    </cfRule>
  </conditionalFormatting>
  <conditionalFormatting sqref="AH9:AH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{E0DCF129-9B2A-4CEB-9E56-27607F4BED20}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0DCF129-9B2A-4CEB-9E56-27607F4BED20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tabColor theme="8"/>
  </sheetPr>
  <dimension ref="B1:AH16"/>
  <sheetViews>
    <sheetView showGridLines="0" topLeftCell="A4" zoomScaleNormal="100" workbookViewId="0">
      <selection activeCell="B12" sqref="B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5" t="s">
        <v>55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</f>
        <v>2025</v>
      </c>
    </row>
    <row r="7" spans="2:34" ht="30" customHeight="1">
      <c r="B7" s="4"/>
      <c r="C7" s="17" t="str">
        <f>TEXT(WEEKDAY(DATE(CalendarYear,8,1),1),"jjj")</f>
        <v>ven</v>
      </c>
      <c r="D7" s="17" t="str">
        <f>TEXT(WEEKDAY(DATE(CalendarYear,8,2),1),"jjj")</f>
        <v>sam</v>
      </c>
      <c r="E7" s="17" t="str">
        <f>TEXT(WEEKDAY(DATE(CalendarYear,8,3),1),"jjj")</f>
        <v>dim</v>
      </c>
      <c r="F7" s="17" t="str">
        <f>TEXT(WEEKDAY(DATE(CalendarYear,8,4),1),"jjj")</f>
        <v>lun</v>
      </c>
      <c r="G7" s="17" t="str">
        <f>TEXT(WEEKDAY(DATE(CalendarYear,8,5),1),"jjj")</f>
        <v>mar</v>
      </c>
      <c r="H7" s="17" t="str">
        <f>TEXT(WEEKDAY(DATE(CalendarYear,8,6),1),"jjj")</f>
        <v>mer</v>
      </c>
      <c r="I7" s="17" t="str">
        <f>TEXT(WEEKDAY(DATE(CalendarYear,8,7),1),"jjj")</f>
        <v>jeu</v>
      </c>
      <c r="J7" s="17" t="str">
        <f>TEXT(WEEKDAY(DATE(CalendarYear,8,8),1),"jjj")</f>
        <v>ven</v>
      </c>
      <c r="K7" s="17" t="str">
        <f>TEXT(WEEKDAY(DATE(CalendarYear,8,9),1),"jjj")</f>
        <v>sam</v>
      </c>
      <c r="L7" s="17" t="str">
        <f>TEXT(WEEKDAY(DATE(CalendarYear,8,10),1),"jjj")</f>
        <v>dim</v>
      </c>
      <c r="M7" s="17" t="str">
        <f>TEXT(WEEKDAY(DATE(CalendarYear,8,11),1),"jjj")</f>
        <v>lun</v>
      </c>
      <c r="N7" s="17" t="str">
        <f>TEXT(WEEKDAY(DATE(CalendarYear,8,12),1),"jjj")</f>
        <v>mar</v>
      </c>
      <c r="O7" s="17" t="str">
        <f>TEXT(WEEKDAY(DATE(CalendarYear,8,13),1),"jjj")</f>
        <v>mer</v>
      </c>
      <c r="P7" s="17" t="str">
        <f>TEXT(WEEKDAY(DATE(CalendarYear,8,14),1),"jjj")</f>
        <v>jeu</v>
      </c>
      <c r="Q7" s="17" t="str">
        <f>TEXT(WEEKDAY(DATE(CalendarYear,8,15),1),"jjj")</f>
        <v>ven</v>
      </c>
      <c r="R7" s="17" t="str">
        <f>TEXT(WEEKDAY(DATE(CalendarYear,8,16),1),"jjj")</f>
        <v>sam</v>
      </c>
      <c r="S7" s="17" t="str">
        <f>TEXT(WEEKDAY(DATE(CalendarYear,8,17),1),"jjj")</f>
        <v>dim</v>
      </c>
      <c r="T7" s="17" t="str">
        <f>TEXT(WEEKDAY(DATE(CalendarYear,8,18),1),"jjj")</f>
        <v>lun</v>
      </c>
      <c r="U7" s="17" t="str">
        <f>TEXT(WEEKDAY(DATE(CalendarYear,8,19),1),"jjj")</f>
        <v>mar</v>
      </c>
      <c r="V7" s="17" t="str">
        <f>TEXT(WEEKDAY(DATE(CalendarYear,8,20),1),"jjj")</f>
        <v>mer</v>
      </c>
      <c r="W7" s="17" t="str">
        <f>TEXT(WEEKDAY(DATE(CalendarYear,8,21),1),"jjj")</f>
        <v>jeu</v>
      </c>
      <c r="X7" s="17" t="str">
        <f>TEXT(WEEKDAY(DATE(CalendarYear,8,22),1),"jjj")</f>
        <v>ven</v>
      </c>
      <c r="Y7" s="17" t="str">
        <f>TEXT(WEEKDAY(DATE(CalendarYear,8,23),1),"jjj")</f>
        <v>sam</v>
      </c>
      <c r="Z7" s="17" t="str">
        <f>TEXT(WEEKDAY(DATE(CalendarYear,8,24),1),"jjj")</f>
        <v>dim</v>
      </c>
      <c r="AA7" s="17" t="str">
        <f>TEXT(WEEKDAY(DATE(CalendarYear,8,25),1),"jjj")</f>
        <v>lun</v>
      </c>
      <c r="AB7" s="17" t="str">
        <f>TEXT(WEEKDAY(DATE(CalendarYear,8,26),1),"jjj")</f>
        <v>mar</v>
      </c>
      <c r="AC7" s="17" t="str">
        <f>TEXT(WEEKDAY(DATE(CalendarYear,8,27),1),"jjj")</f>
        <v>mer</v>
      </c>
      <c r="AD7" s="17" t="str">
        <f>TEXT(WEEKDAY(DATE(CalendarYear,8,28),1),"jjj")</f>
        <v>jeu</v>
      </c>
      <c r="AE7" s="17" t="str">
        <f>TEXT(WEEKDAY(DATE(CalendarYear,8,29),1),"jjj")</f>
        <v>ven</v>
      </c>
      <c r="AF7" s="17" t="str">
        <f>TEXT(WEEKDAY(DATE(CalendarYear,8,30),1),"jjj")</f>
        <v>sam</v>
      </c>
      <c r="AG7" s="17" t="str">
        <f>TEXT(WEEKDAY(DATE(CalendarYear,8,31),1),"jjj")</f>
        <v>dim</v>
      </c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37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COUNTA(Août[[#This Row],[1]:[31]])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COUNTA(Août[[#This Row],[1]:[31]])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COUNTA(Août[[#This Row],[1]:[31]])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COUNTA(Août[[#This Row],[1]:[31]])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COUNTA(Août[[#This Row],[1]:[31]])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COUNTA(Août[[#This Row],[1]:[31]])</f>
        <v>0</v>
      </c>
    </row>
    <row r="15" spans="2:34" ht="30" customHeight="1">
      <c r="B15" s="2" t="s">
        <v>45</v>
      </c>
      <c r="AG15" s="29"/>
      <c r="AH15" s="29">
        <f>COUNTA(Août[[#This Row],[1]:[31]])</f>
        <v>0</v>
      </c>
    </row>
    <row r="16" spans="2:34" ht="30" customHeight="1">
      <c r="B16" s="35" t="s">
        <v>46</v>
      </c>
      <c r="AG16" s="29"/>
      <c r="AH16" s="29">
        <f>COUNTA(Août[[#This Row],[1]:[31]])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65" priority="8" stopIfTrue="1">
      <formula>C9="C"</formula>
    </cfRule>
    <cfRule type="expression" dxfId="64" priority="9" stopIfTrue="1">
      <formula>C9="R"</formula>
    </cfRule>
  </conditionalFormatting>
  <conditionalFormatting sqref="AH9:AH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{09900229-9536-43AB-AAE0-FC121BDECD61}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9900229-9536-43AB-AAE0-FC121BDECD6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tabColor theme="7"/>
  </sheetPr>
  <dimension ref="B1:AH16"/>
  <sheetViews>
    <sheetView showGridLines="0" topLeftCell="A4" zoomScaleNormal="100" workbookViewId="0">
      <selection activeCell="B12" sqref="B12"/>
    </sheetView>
  </sheetViews>
  <sheetFormatPr baseColWidth="10" defaultColWidth="8.6640625" defaultRowHeight="30" customHeight="1"/>
  <cols>
    <col min="1" max="1" width="2.6640625" customWidth="1"/>
    <col min="2" max="2" width="30.33203125" customWidth="1"/>
    <col min="3" max="33" width="4.6640625" customWidth="1"/>
    <col min="34" max="34" width="18" customWidth="1"/>
    <col min="35" max="35" width="2.6640625" customWidth="1"/>
  </cols>
  <sheetData>
    <row r="1" spans="2:34" ht="50.1" customHeight="1">
      <c r="B1" s="20"/>
    </row>
    <row r="2" spans="2:34" ht="100.35" customHeight="1">
      <c r="B2" s="24" t="s">
        <v>56</v>
      </c>
    </row>
    <row r="3" spans="2:34" ht="15" customHeigh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2:34" ht="30" customHeight="1">
      <c r="B4" s="5"/>
      <c r="C4" s="23" t="s">
        <v>1</v>
      </c>
      <c r="D4" s="38" t="s">
        <v>2</v>
      </c>
      <c r="E4" s="38"/>
      <c r="F4" s="34" t="s">
        <v>3</v>
      </c>
      <c r="G4" s="38" t="s">
        <v>4</v>
      </c>
      <c r="H4" s="38"/>
      <c r="I4" s="38"/>
      <c r="J4" s="32"/>
      <c r="K4" s="39"/>
      <c r="L4" s="39"/>
      <c r="M4" s="27"/>
      <c r="N4" s="31"/>
      <c r="O4" s="39"/>
      <c r="P4" s="39"/>
      <c r="Q4" s="39"/>
      <c r="R4" s="39"/>
      <c r="S4" s="30"/>
      <c r="T4" s="39"/>
      <c r="U4" s="39"/>
      <c r="V4" s="39"/>
      <c r="W4" s="39"/>
    </row>
    <row r="5" spans="2:34" ht="1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2:34" ht="50.1" customHeight="1">
      <c r="B6" s="4"/>
      <c r="C6" s="37" t="s">
        <v>5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4">
        <f>CalendarYear</f>
        <v>2025</v>
      </c>
    </row>
    <row r="7" spans="2:34" ht="30" customHeight="1">
      <c r="B7" s="4"/>
      <c r="C7" s="17" t="str">
        <f>TEXT(WEEKDAY(DATE(CalendarYear,9,1),1),"jjj")</f>
        <v>lun</v>
      </c>
      <c r="D7" s="17" t="str">
        <f>TEXT(WEEKDAY(DATE(CalendarYear,9,2),1),"jjj")</f>
        <v>mar</v>
      </c>
      <c r="E7" s="17" t="str">
        <f>TEXT(WEEKDAY(DATE(CalendarYear,9,3),1),"jjj")</f>
        <v>mer</v>
      </c>
      <c r="F7" s="17" t="str">
        <f>TEXT(WEEKDAY(DATE(CalendarYear,9,4),1),"jjj")</f>
        <v>jeu</v>
      </c>
      <c r="G7" s="17" t="str">
        <f>TEXT(WEEKDAY(DATE(CalendarYear,9,5),1),"jjj")</f>
        <v>ven</v>
      </c>
      <c r="H7" s="17" t="str">
        <f>TEXT(WEEKDAY(DATE(CalendarYear,9,6),1),"jjj")</f>
        <v>sam</v>
      </c>
      <c r="I7" s="17" t="str">
        <f>TEXT(WEEKDAY(DATE(CalendarYear,9,7),1),"jjj")</f>
        <v>dim</v>
      </c>
      <c r="J7" s="17" t="str">
        <f>TEXT(WEEKDAY(DATE(CalendarYear,9,8),1),"jjj")</f>
        <v>lun</v>
      </c>
      <c r="K7" s="17" t="str">
        <f>TEXT(WEEKDAY(DATE(CalendarYear,9,9),1),"jjj")</f>
        <v>mar</v>
      </c>
      <c r="L7" s="17" t="str">
        <f>TEXT(WEEKDAY(DATE(CalendarYear,9,10),1),"jjj")</f>
        <v>mer</v>
      </c>
      <c r="M7" s="17" t="str">
        <f>TEXT(WEEKDAY(DATE(CalendarYear,9,11),1),"jjj")</f>
        <v>jeu</v>
      </c>
      <c r="N7" s="17" t="str">
        <f>TEXT(WEEKDAY(DATE(CalendarYear,9,12),1),"jjj")</f>
        <v>ven</v>
      </c>
      <c r="O7" s="17" t="str">
        <f>TEXT(WEEKDAY(DATE(CalendarYear,9,13),1),"jjj")</f>
        <v>sam</v>
      </c>
      <c r="P7" s="17" t="str">
        <f>TEXT(WEEKDAY(DATE(CalendarYear,9,14),1),"jjj")</f>
        <v>dim</v>
      </c>
      <c r="Q7" s="17" t="str">
        <f>TEXT(WEEKDAY(DATE(CalendarYear,9,15),1),"jjj")</f>
        <v>lun</v>
      </c>
      <c r="R7" s="17" t="str">
        <f>TEXT(WEEKDAY(DATE(CalendarYear,9,16),1),"jjj")</f>
        <v>mar</v>
      </c>
      <c r="S7" s="17" t="str">
        <f>TEXT(WEEKDAY(DATE(CalendarYear,9,17),1),"jjj")</f>
        <v>mer</v>
      </c>
      <c r="T7" s="17" t="str">
        <f>TEXT(WEEKDAY(DATE(CalendarYear,9,18),1),"jjj")</f>
        <v>jeu</v>
      </c>
      <c r="U7" s="17" t="str">
        <f>TEXT(WEEKDAY(DATE(CalendarYear,9,19),1),"jjj")</f>
        <v>ven</v>
      </c>
      <c r="V7" s="17" t="str">
        <f>TEXT(WEEKDAY(DATE(CalendarYear,9,20),1),"jjj")</f>
        <v>sam</v>
      </c>
      <c r="W7" s="17" t="str">
        <f>TEXT(WEEKDAY(DATE(CalendarYear,9,21),1),"jjj")</f>
        <v>dim</v>
      </c>
      <c r="X7" s="17" t="str">
        <f>TEXT(WEEKDAY(DATE(CalendarYear,9,22),1),"jjj")</f>
        <v>lun</v>
      </c>
      <c r="Y7" s="17" t="str">
        <f>TEXT(WEEKDAY(DATE(CalendarYear,9,23),1),"jjj")</f>
        <v>mar</v>
      </c>
      <c r="Z7" s="17" t="str">
        <f>TEXT(WEEKDAY(DATE(CalendarYear,9,24),1),"jjj")</f>
        <v>mer</v>
      </c>
      <c r="AA7" s="17" t="str">
        <f>TEXT(WEEKDAY(DATE(CalendarYear,9,25),1),"jjj")</f>
        <v>jeu</v>
      </c>
      <c r="AB7" s="17" t="str">
        <f>TEXT(WEEKDAY(DATE(CalendarYear,9,26),1),"jjj")</f>
        <v>ven</v>
      </c>
      <c r="AC7" s="17" t="str">
        <f>TEXT(WEEKDAY(DATE(CalendarYear,9,27),1),"jjj")</f>
        <v>sam</v>
      </c>
      <c r="AD7" s="17" t="str">
        <f>TEXT(WEEKDAY(DATE(CalendarYear,9,28),1),"jjj")</f>
        <v>dim</v>
      </c>
      <c r="AE7" s="17" t="str">
        <f>TEXT(WEEKDAY(DATE(CalendarYear,9,29),1),"jjj")</f>
        <v>lun</v>
      </c>
      <c r="AF7" s="17" t="str">
        <f>TEXT(WEEKDAY(DATE(CalendarYear,9,30),1),"jjj")</f>
        <v>mar</v>
      </c>
      <c r="AG7" s="17"/>
      <c r="AH7" s="4"/>
    </row>
    <row r="8" spans="2:34" ht="30" customHeight="1">
      <c r="B8" s="16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  <c r="O8" s="1" t="s">
        <v>19</v>
      </c>
      <c r="P8" s="1" t="s">
        <v>20</v>
      </c>
      <c r="Q8" s="1" t="s">
        <v>21</v>
      </c>
      <c r="R8" s="1" t="s">
        <v>22</v>
      </c>
      <c r="S8" s="1" t="s">
        <v>23</v>
      </c>
      <c r="T8" s="1" t="s">
        <v>24</v>
      </c>
      <c r="U8" s="1" t="s">
        <v>25</v>
      </c>
      <c r="V8" s="1" t="s">
        <v>26</v>
      </c>
      <c r="W8" s="1" t="s">
        <v>27</v>
      </c>
      <c r="X8" s="1" t="s">
        <v>28</v>
      </c>
      <c r="Y8" s="1" t="s">
        <v>29</v>
      </c>
      <c r="Z8" s="1" t="s">
        <v>30</v>
      </c>
      <c r="AA8" s="1" t="s">
        <v>31</v>
      </c>
      <c r="AB8" s="1" t="s">
        <v>32</v>
      </c>
      <c r="AC8" s="1" t="s">
        <v>33</v>
      </c>
      <c r="AD8" s="1" t="s">
        <v>34</v>
      </c>
      <c r="AE8" s="1" t="s">
        <v>35</v>
      </c>
      <c r="AF8" s="1" t="s">
        <v>36</v>
      </c>
      <c r="AG8" s="1" t="s">
        <v>48</v>
      </c>
      <c r="AH8" s="18" t="s">
        <v>38</v>
      </c>
    </row>
    <row r="9" spans="2:34" ht="30" customHeight="1">
      <c r="B9" s="2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3">
        <f>COUNTA(Septembre[[#This Row],[1]:[ ]])</f>
        <v>0</v>
      </c>
    </row>
    <row r="10" spans="2:34" ht="30" customHeight="1">
      <c r="B10" s="2" t="s">
        <v>40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3">
        <f>COUNTA(Septembre[[#This Row],[1]:[ ]])</f>
        <v>0</v>
      </c>
    </row>
    <row r="11" spans="2:34" ht="30" customHeight="1">
      <c r="B11" s="2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3">
        <f>COUNTA(Septembre[[#This Row],[1]:[ ]])</f>
        <v>0</v>
      </c>
    </row>
    <row r="12" spans="2:34" ht="30" customHeight="1">
      <c r="B12" s="35" t="s">
        <v>42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9"/>
      <c r="AH12" s="3">
        <f>COUNTA(Septembre[[#This Row],[1]:[ ]])</f>
        <v>0</v>
      </c>
    </row>
    <row r="13" spans="2:34" ht="30" customHeight="1">
      <c r="B13" s="2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3">
        <f>COUNTA(Septembre[[#This Row],[1]:[ ]])</f>
        <v>0</v>
      </c>
    </row>
    <row r="14" spans="2:34" ht="30" customHeight="1">
      <c r="B14" s="2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3">
        <f>COUNTA(Septembre[[#This Row],[1]:[ ]])</f>
        <v>0</v>
      </c>
    </row>
    <row r="15" spans="2:34" ht="30" customHeight="1">
      <c r="B15" s="2" t="s">
        <v>45</v>
      </c>
      <c r="AG15" s="29"/>
      <c r="AH15" s="29">
        <f>COUNTA(Septembre[[#This Row],[1]:[ ]])</f>
        <v>0</v>
      </c>
    </row>
    <row r="16" spans="2:34" ht="30" customHeight="1">
      <c r="B16" s="35" t="s">
        <v>46</v>
      </c>
      <c r="AG16" s="29"/>
      <c r="AH16" s="29">
        <f>COUNTA(Septembre[[#This Row],[1]:[ ]])</f>
        <v>0</v>
      </c>
    </row>
  </sheetData>
  <mergeCells count="6">
    <mergeCell ref="C6:AG6"/>
    <mergeCell ref="D4:E4"/>
    <mergeCell ref="G4:I4"/>
    <mergeCell ref="K4:L4"/>
    <mergeCell ref="O4:R4"/>
    <mergeCell ref="T4:W4"/>
  </mergeCells>
  <phoneticPr fontId="31" type="noConversion"/>
  <conditionalFormatting sqref="C9:AG16">
    <cfRule type="expression" dxfId="63" priority="8" stopIfTrue="1">
      <formula>C9="C"</formula>
    </cfRule>
    <cfRule type="expression" dxfId="62" priority="9" stopIfTrue="1">
      <formula>C9="R"</formula>
    </cfRule>
  </conditionalFormatting>
  <conditionalFormatting sqref="AH9:AH16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{1A021984-06A1-41D9-90D2-8C16E885020B}</x14:id>
        </ext>
      </extLst>
    </cfRule>
  </conditionalFormatting>
  <pageMargins left="0.7" right="0.7" top="0.75" bottom="0.75" header="0.3" footer="0.3"/>
  <pageSetup paperSize="9" fitToHeight="0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A021984-06A1-41D9-90D2-8C16E885020B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AH9:AH16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5C1DB48D-B39A-4027-AC09-EC0D149B50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D05670-3C2E-4910-93A4-3F46AB1A1C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416EBA-1ECE-4253-8F5F-379C4C21BCA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TM03987167</Templat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307</vt:i4>
      </vt:variant>
    </vt:vector>
  </HeadingPairs>
  <TitlesOfParts>
    <vt:vector size="337" baseType="lpstr">
      <vt:lpstr>Janvier</vt:lpstr>
      <vt:lpstr>Février</vt:lpstr>
      <vt:lpstr>Mars</vt:lpstr>
      <vt:lpstr>Avril</vt:lpstr>
      <vt:lpstr>Mai</vt:lpstr>
      <vt:lpstr>Juin</vt:lpstr>
      <vt:lpstr>Juillet</vt:lpstr>
      <vt:lpstr>Août</vt:lpstr>
      <vt:lpstr>Septembre</vt:lpstr>
      <vt:lpstr>Octobre</vt:lpstr>
      <vt:lpstr>Novembre</vt:lpstr>
      <vt:lpstr>Décembre</vt:lpstr>
      <vt:lpstr>Janvier 2026</vt:lpstr>
      <vt:lpstr>Fevrier 2026</vt:lpstr>
      <vt:lpstr>Mars 2026</vt:lpstr>
      <vt:lpstr>Avril 2026</vt:lpstr>
      <vt:lpstr>Mai 2026</vt:lpstr>
      <vt:lpstr>Juin 2026</vt:lpstr>
      <vt:lpstr>Juillet 2026</vt:lpstr>
      <vt:lpstr>Août 2026</vt:lpstr>
      <vt:lpstr>Septembre 2026</vt:lpstr>
      <vt:lpstr>Octobre 2026</vt:lpstr>
      <vt:lpstr>Novembre 2026</vt:lpstr>
      <vt:lpstr>Décembre 2026</vt:lpstr>
      <vt:lpstr>Janvier 2027</vt:lpstr>
      <vt:lpstr>Fevrier 2027</vt:lpstr>
      <vt:lpstr>Mars 2027</vt:lpstr>
      <vt:lpstr>Avril 2027</vt:lpstr>
      <vt:lpstr>Mai 2027</vt:lpstr>
      <vt:lpstr>Juin 2027</vt:lpstr>
      <vt:lpstr>CalendarYear</vt:lpstr>
      <vt:lpstr>CléCongé</vt:lpstr>
      <vt:lpstr>CléMaladie</vt:lpstr>
      <vt:lpstr>CléPersonnalisée1</vt:lpstr>
      <vt:lpstr>CléPersonnalisée2</vt:lpstr>
      <vt:lpstr>CléPersonnel</vt:lpstr>
      <vt:lpstr>ÉtiquetteCléCongé</vt:lpstr>
      <vt:lpstr>ÉtiquetteCléMaladie</vt:lpstr>
      <vt:lpstr>ÉtiquetteCléPersonnalisée1</vt:lpstr>
      <vt:lpstr>ÉtiquetteCléPersonnalisée2</vt:lpstr>
      <vt:lpstr>ÉtiquetteCléPersonnel</vt:lpstr>
      <vt:lpstr>Août!Impression_des_titres</vt:lpstr>
      <vt:lpstr>'Août 2026'!Impression_des_titres</vt:lpstr>
      <vt:lpstr>Avril!Impression_des_titres</vt:lpstr>
      <vt:lpstr>'Avril 2026'!Impression_des_titres</vt:lpstr>
      <vt:lpstr>'Avril 2027'!Impression_des_titres</vt:lpstr>
      <vt:lpstr>Décembre!Impression_des_titres</vt:lpstr>
      <vt:lpstr>'Décembre 2026'!Impression_des_titres</vt:lpstr>
      <vt:lpstr>Février!Impression_des_titres</vt:lpstr>
      <vt:lpstr>'Fevrier 2026'!Impression_des_titres</vt:lpstr>
      <vt:lpstr>'Fevrier 2027'!Impression_des_titres</vt:lpstr>
      <vt:lpstr>Janvier!Impression_des_titres</vt:lpstr>
      <vt:lpstr>'Janvier 2026'!Impression_des_titres</vt:lpstr>
      <vt:lpstr>'Janvier 2027'!Impression_des_titres</vt:lpstr>
      <vt:lpstr>Juillet!Impression_des_titres</vt:lpstr>
      <vt:lpstr>'Juillet 2026'!Impression_des_titres</vt:lpstr>
      <vt:lpstr>Juin!Impression_des_titres</vt:lpstr>
      <vt:lpstr>'Juin 2026'!Impression_des_titres</vt:lpstr>
      <vt:lpstr>'Juin 2027'!Impression_des_titres</vt:lpstr>
      <vt:lpstr>Mai!Impression_des_titres</vt:lpstr>
      <vt:lpstr>'Mai 2026'!Impression_des_titres</vt:lpstr>
      <vt:lpstr>'Mai 2027'!Impression_des_titres</vt:lpstr>
      <vt:lpstr>Mars!Impression_des_titres</vt:lpstr>
      <vt:lpstr>'Mars 2026'!Impression_des_titres</vt:lpstr>
      <vt:lpstr>'Mars 2027'!Impression_des_titres</vt:lpstr>
      <vt:lpstr>Novembre!Impression_des_titres</vt:lpstr>
      <vt:lpstr>'Novembre 2026'!Impression_des_titres</vt:lpstr>
      <vt:lpstr>Octobre!Impression_des_titres</vt:lpstr>
      <vt:lpstr>'Octobre 2026'!Impression_des_titres</vt:lpstr>
      <vt:lpstr>Septembre!Impression_des_titres</vt:lpstr>
      <vt:lpstr>'Septembre 2026'!Impression_des_titres</vt:lpstr>
      <vt:lpstr>'Avril 2027'!Janvier2027</vt:lpstr>
      <vt:lpstr>'Fevrier 2027'!Janvier2027</vt:lpstr>
      <vt:lpstr>'Juin 2027'!Janvier2027</vt:lpstr>
      <vt:lpstr>'Mai 2027'!Janvier2027</vt:lpstr>
      <vt:lpstr>'Mars 2027'!Janvier2027</vt:lpstr>
      <vt:lpstr>Janvier2027</vt:lpstr>
      <vt:lpstr>Nom_clé</vt:lpstr>
      <vt:lpstr>Août!NomMois</vt:lpstr>
      <vt:lpstr>'Août 2026'!NomMois</vt:lpstr>
      <vt:lpstr>Avril!NomMois</vt:lpstr>
      <vt:lpstr>'Avril 2026'!NomMois</vt:lpstr>
      <vt:lpstr>'Avril 2027'!NomMois</vt:lpstr>
      <vt:lpstr>Décembre!NomMois</vt:lpstr>
      <vt:lpstr>'Décembre 2026'!NomMois</vt:lpstr>
      <vt:lpstr>Février!NomMois</vt:lpstr>
      <vt:lpstr>'Fevrier 2026'!NomMois</vt:lpstr>
      <vt:lpstr>'Fevrier 2027'!NomMois</vt:lpstr>
      <vt:lpstr>Janvier!NomMois</vt:lpstr>
      <vt:lpstr>'Janvier 2026'!NomMois</vt:lpstr>
      <vt:lpstr>'Janvier 2027'!NomMois</vt:lpstr>
      <vt:lpstr>Juillet!NomMois</vt:lpstr>
      <vt:lpstr>'Juillet 2026'!NomMois</vt:lpstr>
      <vt:lpstr>Juin!NomMois</vt:lpstr>
      <vt:lpstr>'Juin 2026'!NomMois</vt:lpstr>
      <vt:lpstr>'Juin 2027'!NomMois</vt:lpstr>
      <vt:lpstr>Mai!NomMois</vt:lpstr>
      <vt:lpstr>'Mai 2026'!NomMois</vt:lpstr>
      <vt:lpstr>'Mai 2027'!NomMois</vt:lpstr>
      <vt:lpstr>Mars!NomMois</vt:lpstr>
      <vt:lpstr>'Mars 2026'!NomMois</vt:lpstr>
      <vt:lpstr>'Mars 2027'!NomMois</vt:lpstr>
      <vt:lpstr>Novembre!NomMois</vt:lpstr>
      <vt:lpstr>'Novembre 2026'!NomMois</vt:lpstr>
      <vt:lpstr>Octobre!NomMois</vt:lpstr>
      <vt:lpstr>'Octobre 2026'!NomMois</vt:lpstr>
      <vt:lpstr>Septembre!NomMois</vt:lpstr>
      <vt:lpstr>'Septembre 2026'!NomMois</vt:lpstr>
      <vt:lpstr>Titre_Absence_Employé</vt:lpstr>
      <vt:lpstr>'Août 2026'!Titre1</vt:lpstr>
      <vt:lpstr>'Avril 2026'!Titre1</vt:lpstr>
      <vt:lpstr>'Avril 2027'!Titre1</vt:lpstr>
      <vt:lpstr>'Décembre 2026'!Titre1</vt:lpstr>
      <vt:lpstr>'Fevrier 2026'!Titre1</vt:lpstr>
      <vt:lpstr>'Fevrier 2027'!Titre1</vt:lpstr>
      <vt:lpstr>'Janvier 2026'!Titre1</vt:lpstr>
      <vt:lpstr>'Janvier 2027'!Titre1</vt:lpstr>
      <vt:lpstr>'Juillet 2026'!Titre1</vt:lpstr>
      <vt:lpstr>'Juin 2026'!Titre1</vt:lpstr>
      <vt:lpstr>'Juin 2027'!Titre1</vt:lpstr>
      <vt:lpstr>'Mai 2026'!Titre1</vt:lpstr>
      <vt:lpstr>'Mai 2027'!Titre1</vt:lpstr>
      <vt:lpstr>'Mars 2026'!Titre1</vt:lpstr>
      <vt:lpstr>'Mars 2027'!Titre1</vt:lpstr>
      <vt:lpstr>'Novembre 2026'!Titre1</vt:lpstr>
      <vt:lpstr>'Octobre 2026'!Titre1</vt:lpstr>
      <vt:lpstr>'Septembre 2026'!Titre1</vt:lpstr>
      <vt:lpstr>Titre1</vt:lpstr>
      <vt:lpstr>'Août 2026'!Titre10</vt:lpstr>
      <vt:lpstr>'Avril 2026'!Titre10</vt:lpstr>
      <vt:lpstr>'Avril 2027'!Titre10</vt:lpstr>
      <vt:lpstr>'Décembre 2026'!Titre10</vt:lpstr>
      <vt:lpstr>'Fevrier 2026'!Titre10</vt:lpstr>
      <vt:lpstr>'Fevrier 2027'!Titre10</vt:lpstr>
      <vt:lpstr>'Janvier 2026'!Titre10</vt:lpstr>
      <vt:lpstr>'Janvier 2027'!Titre10</vt:lpstr>
      <vt:lpstr>'Juillet 2026'!Titre10</vt:lpstr>
      <vt:lpstr>'Juin 2026'!Titre10</vt:lpstr>
      <vt:lpstr>'Juin 2027'!Titre10</vt:lpstr>
      <vt:lpstr>'Mai 2026'!Titre10</vt:lpstr>
      <vt:lpstr>'Mai 2027'!Titre10</vt:lpstr>
      <vt:lpstr>'Mars 2026'!Titre10</vt:lpstr>
      <vt:lpstr>'Mars 2027'!Titre10</vt:lpstr>
      <vt:lpstr>'Novembre 2026'!Titre10</vt:lpstr>
      <vt:lpstr>'Octobre 2026'!Titre10</vt:lpstr>
      <vt:lpstr>'Septembre 2026'!Titre10</vt:lpstr>
      <vt:lpstr>Titre10</vt:lpstr>
      <vt:lpstr>'Août 2026'!Titre11</vt:lpstr>
      <vt:lpstr>'Avril 2026'!Titre11</vt:lpstr>
      <vt:lpstr>'Avril 2027'!Titre11</vt:lpstr>
      <vt:lpstr>'Décembre 2026'!Titre11</vt:lpstr>
      <vt:lpstr>'Fevrier 2026'!Titre11</vt:lpstr>
      <vt:lpstr>'Fevrier 2027'!Titre11</vt:lpstr>
      <vt:lpstr>'Janvier 2026'!Titre11</vt:lpstr>
      <vt:lpstr>'Janvier 2027'!Titre11</vt:lpstr>
      <vt:lpstr>'Juillet 2026'!Titre11</vt:lpstr>
      <vt:lpstr>'Juin 2026'!Titre11</vt:lpstr>
      <vt:lpstr>'Juin 2027'!Titre11</vt:lpstr>
      <vt:lpstr>'Mai 2026'!Titre11</vt:lpstr>
      <vt:lpstr>'Mai 2027'!Titre11</vt:lpstr>
      <vt:lpstr>'Mars 2026'!Titre11</vt:lpstr>
      <vt:lpstr>'Mars 2027'!Titre11</vt:lpstr>
      <vt:lpstr>'Novembre 2026'!Titre11</vt:lpstr>
      <vt:lpstr>'Octobre 2026'!Titre11</vt:lpstr>
      <vt:lpstr>'Septembre 2026'!Titre11</vt:lpstr>
      <vt:lpstr>Titre11</vt:lpstr>
      <vt:lpstr>'Août 2026'!Titre12</vt:lpstr>
      <vt:lpstr>'Avril 2026'!Titre12</vt:lpstr>
      <vt:lpstr>'Avril 2027'!Titre12</vt:lpstr>
      <vt:lpstr>'Décembre 2026'!Titre12</vt:lpstr>
      <vt:lpstr>'Fevrier 2026'!Titre12</vt:lpstr>
      <vt:lpstr>'Fevrier 2027'!Titre12</vt:lpstr>
      <vt:lpstr>'Janvier 2026'!Titre12</vt:lpstr>
      <vt:lpstr>'Janvier 2027'!Titre12</vt:lpstr>
      <vt:lpstr>'Juillet 2026'!Titre12</vt:lpstr>
      <vt:lpstr>'Juin 2026'!Titre12</vt:lpstr>
      <vt:lpstr>'Juin 2027'!Titre12</vt:lpstr>
      <vt:lpstr>'Mai 2026'!Titre12</vt:lpstr>
      <vt:lpstr>'Mai 2027'!Titre12</vt:lpstr>
      <vt:lpstr>'Mars 2026'!Titre12</vt:lpstr>
      <vt:lpstr>'Mars 2027'!Titre12</vt:lpstr>
      <vt:lpstr>'Novembre 2026'!Titre12</vt:lpstr>
      <vt:lpstr>'Octobre 2026'!Titre12</vt:lpstr>
      <vt:lpstr>'Septembre 2026'!Titre12</vt:lpstr>
      <vt:lpstr>Titre12</vt:lpstr>
      <vt:lpstr>'Août 2026'!Titre2</vt:lpstr>
      <vt:lpstr>'Avril 2026'!Titre2</vt:lpstr>
      <vt:lpstr>'Avril 2027'!Titre2</vt:lpstr>
      <vt:lpstr>'Décembre 2026'!Titre2</vt:lpstr>
      <vt:lpstr>'Fevrier 2026'!Titre2</vt:lpstr>
      <vt:lpstr>'Fevrier 2027'!Titre2</vt:lpstr>
      <vt:lpstr>'Janvier 2026'!Titre2</vt:lpstr>
      <vt:lpstr>'Janvier 2027'!Titre2</vt:lpstr>
      <vt:lpstr>'Juillet 2026'!Titre2</vt:lpstr>
      <vt:lpstr>'Juin 2026'!Titre2</vt:lpstr>
      <vt:lpstr>'Juin 2027'!Titre2</vt:lpstr>
      <vt:lpstr>'Mai 2026'!Titre2</vt:lpstr>
      <vt:lpstr>'Mai 2027'!Titre2</vt:lpstr>
      <vt:lpstr>'Mars 2026'!Titre2</vt:lpstr>
      <vt:lpstr>'Mars 2027'!Titre2</vt:lpstr>
      <vt:lpstr>'Novembre 2026'!Titre2</vt:lpstr>
      <vt:lpstr>'Octobre 2026'!Titre2</vt:lpstr>
      <vt:lpstr>'Septembre 2026'!Titre2</vt:lpstr>
      <vt:lpstr>Titre2</vt:lpstr>
      <vt:lpstr>'Août 2026'!Titre3</vt:lpstr>
      <vt:lpstr>'Avril 2026'!Titre3</vt:lpstr>
      <vt:lpstr>'Avril 2027'!Titre3</vt:lpstr>
      <vt:lpstr>'Décembre 2026'!Titre3</vt:lpstr>
      <vt:lpstr>'Fevrier 2026'!Titre3</vt:lpstr>
      <vt:lpstr>'Fevrier 2027'!Titre3</vt:lpstr>
      <vt:lpstr>'Janvier 2026'!Titre3</vt:lpstr>
      <vt:lpstr>'Janvier 2027'!Titre3</vt:lpstr>
      <vt:lpstr>'Juillet 2026'!Titre3</vt:lpstr>
      <vt:lpstr>'Juin 2026'!Titre3</vt:lpstr>
      <vt:lpstr>'Juin 2027'!Titre3</vt:lpstr>
      <vt:lpstr>'Mai 2026'!Titre3</vt:lpstr>
      <vt:lpstr>'Mai 2027'!Titre3</vt:lpstr>
      <vt:lpstr>'Mars 2026'!Titre3</vt:lpstr>
      <vt:lpstr>'Mars 2027'!Titre3</vt:lpstr>
      <vt:lpstr>'Novembre 2026'!Titre3</vt:lpstr>
      <vt:lpstr>'Octobre 2026'!Titre3</vt:lpstr>
      <vt:lpstr>'Septembre 2026'!Titre3</vt:lpstr>
      <vt:lpstr>Titre3</vt:lpstr>
      <vt:lpstr>'Août 2026'!Titre4</vt:lpstr>
      <vt:lpstr>'Avril 2026'!Titre4</vt:lpstr>
      <vt:lpstr>'Avril 2027'!Titre4</vt:lpstr>
      <vt:lpstr>'Décembre 2026'!Titre4</vt:lpstr>
      <vt:lpstr>'Fevrier 2026'!Titre4</vt:lpstr>
      <vt:lpstr>'Fevrier 2027'!Titre4</vt:lpstr>
      <vt:lpstr>'Janvier 2026'!Titre4</vt:lpstr>
      <vt:lpstr>'Janvier 2027'!Titre4</vt:lpstr>
      <vt:lpstr>'Juillet 2026'!Titre4</vt:lpstr>
      <vt:lpstr>'Juin 2026'!Titre4</vt:lpstr>
      <vt:lpstr>'Juin 2027'!Titre4</vt:lpstr>
      <vt:lpstr>'Mai 2026'!Titre4</vt:lpstr>
      <vt:lpstr>'Mai 2027'!Titre4</vt:lpstr>
      <vt:lpstr>'Mars 2026'!Titre4</vt:lpstr>
      <vt:lpstr>'Mars 2027'!Titre4</vt:lpstr>
      <vt:lpstr>'Novembre 2026'!Titre4</vt:lpstr>
      <vt:lpstr>'Octobre 2026'!Titre4</vt:lpstr>
      <vt:lpstr>'Septembre 2026'!Titre4</vt:lpstr>
      <vt:lpstr>Titre4</vt:lpstr>
      <vt:lpstr>'Août 2026'!Titre5</vt:lpstr>
      <vt:lpstr>'Avril 2026'!Titre5</vt:lpstr>
      <vt:lpstr>'Avril 2027'!Titre5</vt:lpstr>
      <vt:lpstr>'Décembre 2026'!Titre5</vt:lpstr>
      <vt:lpstr>'Fevrier 2026'!Titre5</vt:lpstr>
      <vt:lpstr>'Fevrier 2027'!Titre5</vt:lpstr>
      <vt:lpstr>'Janvier 2026'!Titre5</vt:lpstr>
      <vt:lpstr>'Janvier 2027'!Titre5</vt:lpstr>
      <vt:lpstr>'Juillet 2026'!Titre5</vt:lpstr>
      <vt:lpstr>'Juin 2026'!Titre5</vt:lpstr>
      <vt:lpstr>'Juin 2027'!Titre5</vt:lpstr>
      <vt:lpstr>'Mai 2026'!Titre5</vt:lpstr>
      <vt:lpstr>'Mai 2027'!Titre5</vt:lpstr>
      <vt:lpstr>'Mars 2026'!Titre5</vt:lpstr>
      <vt:lpstr>'Mars 2027'!Titre5</vt:lpstr>
      <vt:lpstr>'Novembre 2026'!Titre5</vt:lpstr>
      <vt:lpstr>'Octobre 2026'!Titre5</vt:lpstr>
      <vt:lpstr>'Septembre 2026'!Titre5</vt:lpstr>
      <vt:lpstr>Titre5</vt:lpstr>
      <vt:lpstr>'Août 2026'!Titre6</vt:lpstr>
      <vt:lpstr>'Avril 2026'!Titre6</vt:lpstr>
      <vt:lpstr>'Avril 2027'!Titre6</vt:lpstr>
      <vt:lpstr>'Décembre 2026'!Titre6</vt:lpstr>
      <vt:lpstr>'Fevrier 2026'!Titre6</vt:lpstr>
      <vt:lpstr>'Fevrier 2027'!Titre6</vt:lpstr>
      <vt:lpstr>'Janvier 2026'!Titre6</vt:lpstr>
      <vt:lpstr>'Janvier 2027'!Titre6</vt:lpstr>
      <vt:lpstr>'Juillet 2026'!Titre6</vt:lpstr>
      <vt:lpstr>'Juin 2026'!Titre6</vt:lpstr>
      <vt:lpstr>'Juin 2027'!Titre6</vt:lpstr>
      <vt:lpstr>'Mai 2026'!Titre6</vt:lpstr>
      <vt:lpstr>'Mai 2027'!Titre6</vt:lpstr>
      <vt:lpstr>'Mars 2026'!Titre6</vt:lpstr>
      <vt:lpstr>'Mars 2027'!Titre6</vt:lpstr>
      <vt:lpstr>'Novembre 2026'!Titre6</vt:lpstr>
      <vt:lpstr>'Octobre 2026'!Titre6</vt:lpstr>
      <vt:lpstr>'Septembre 2026'!Titre6</vt:lpstr>
      <vt:lpstr>Titre6</vt:lpstr>
      <vt:lpstr>'Août 2026'!Titre7</vt:lpstr>
      <vt:lpstr>'Avril 2026'!Titre7</vt:lpstr>
      <vt:lpstr>'Avril 2027'!Titre7</vt:lpstr>
      <vt:lpstr>'Décembre 2026'!Titre7</vt:lpstr>
      <vt:lpstr>'Fevrier 2026'!Titre7</vt:lpstr>
      <vt:lpstr>'Fevrier 2027'!Titre7</vt:lpstr>
      <vt:lpstr>'Janvier 2026'!Titre7</vt:lpstr>
      <vt:lpstr>'Janvier 2027'!Titre7</vt:lpstr>
      <vt:lpstr>'Juillet 2026'!Titre7</vt:lpstr>
      <vt:lpstr>'Juin 2026'!Titre7</vt:lpstr>
      <vt:lpstr>'Juin 2027'!Titre7</vt:lpstr>
      <vt:lpstr>'Mai 2026'!Titre7</vt:lpstr>
      <vt:lpstr>'Mai 2027'!Titre7</vt:lpstr>
      <vt:lpstr>'Mars 2026'!Titre7</vt:lpstr>
      <vt:lpstr>'Mars 2027'!Titre7</vt:lpstr>
      <vt:lpstr>'Novembre 2026'!Titre7</vt:lpstr>
      <vt:lpstr>'Octobre 2026'!Titre7</vt:lpstr>
      <vt:lpstr>'Septembre 2026'!Titre7</vt:lpstr>
      <vt:lpstr>Titre7</vt:lpstr>
      <vt:lpstr>'Août 2026'!Titre8</vt:lpstr>
      <vt:lpstr>'Avril 2026'!Titre8</vt:lpstr>
      <vt:lpstr>'Avril 2027'!Titre8</vt:lpstr>
      <vt:lpstr>'Décembre 2026'!Titre8</vt:lpstr>
      <vt:lpstr>'Fevrier 2026'!Titre8</vt:lpstr>
      <vt:lpstr>'Fevrier 2027'!Titre8</vt:lpstr>
      <vt:lpstr>'Janvier 2026'!Titre8</vt:lpstr>
      <vt:lpstr>'Janvier 2027'!Titre8</vt:lpstr>
      <vt:lpstr>'Juillet 2026'!Titre8</vt:lpstr>
      <vt:lpstr>'Juin 2026'!Titre8</vt:lpstr>
      <vt:lpstr>'Juin 2027'!Titre8</vt:lpstr>
      <vt:lpstr>'Mai 2026'!Titre8</vt:lpstr>
      <vt:lpstr>'Mai 2027'!Titre8</vt:lpstr>
      <vt:lpstr>'Mars 2026'!Titre8</vt:lpstr>
      <vt:lpstr>'Mars 2027'!Titre8</vt:lpstr>
      <vt:lpstr>'Novembre 2026'!Titre8</vt:lpstr>
      <vt:lpstr>'Octobre 2026'!Titre8</vt:lpstr>
      <vt:lpstr>'Septembre 2026'!Titre8</vt:lpstr>
      <vt:lpstr>Titre8</vt:lpstr>
      <vt:lpstr>'Août 2026'!Titre9</vt:lpstr>
      <vt:lpstr>'Avril 2026'!Titre9</vt:lpstr>
      <vt:lpstr>'Avril 2027'!Titre9</vt:lpstr>
      <vt:lpstr>'Décembre 2026'!Titre9</vt:lpstr>
      <vt:lpstr>'Fevrier 2026'!Titre9</vt:lpstr>
      <vt:lpstr>'Fevrier 2027'!Titre9</vt:lpstr>
      <vt:lpstr>'Janvier 2026'!Titre9</vt:lpstr>
      <vt:lpstr>'Janvier 2027'!Titre9</vt:lpstr>
      <vt:lpstr>'Juillet 2026'!Titre9</vt:lpstr>
      <vt:lpstr>'Juin 2026'!Titre9</vt:lpstr>
      <vt:lpstr>'Juin 2027'!Titre9</vt:lpstr>
      <vt:lpstr>'Mai 2026'!Titre9</vt:lpstr>
      <vt:lpstr>'Mai 2027'!Titre9</vt:lpstr>
      <vt:lpstr>'Mars 2026'!Titre9</vt:lpstr>
      <vt:lpstr>'Mars 2027'!Titre9</vt:lpstr>
      <vt:lpstr>'Novembre 2026'!Titre9</vt:lpstr>
      <vt:lpstr>'Octobre 2026'!Titre9</vt:lpstr>
      <vt:lpstr>'Septembre 2026'!Titre9</vt:lpstr>
      <vt:lpstr>Titre9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2023-01-31T06:59:27Z</dcterms:created>
  <dcterms:modified xsi:type="dcterms:W3CDTF">2026-07-21T09:03:42Z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