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6.xml" ContentType="application/vnd.openxmlformats-officedocument.spreadsheetml.table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tables/table11.xml" ContentType="application/vnd.openxmlformats-officedocument.spreadsheetml.table+xml"/>
  <Override PartName="/xl/comments4.xml" ContentType="application/vnd.openxmlformats-officedocument.spreadsheetml.comments+xml"/>
  <Override PartName="/xl/tables/table12.xml" ContentType="application/vnd.openxmlformats-officedocument.spreadsheetml.table+xml"/>
  <Override PartName="/xl/comments5.xml" ContentType="application/vnd.openxmlformats-officedocument.spreadsheetml.comments+xml"/>
  <Override PartName="/xl/tables/table13.xml" ContentType="application/vnd.openxmlformats-officedocument.spreadsheetml.table+xml"/>
  <Override PartName="/xl/comments6.xml" ContentType="application/vnd.openxmlformats-officedocument.spreadsheetml.comments+xml"/>
  <Override PartName="/xl/tables/table14.xml" ContentType="application/vnd.openxmlformats-officedocument.spreadsheetml.table+xml"/>
  <Override PartName="/xl/comments7.xml" ContentType="application/vnd.openxmlformats-officedocument.spreadsheetml.comments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comments8.xml" ContentType="application/vnd.openxmlformats-officedocument.spreadsheetml.comments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 codeName="ThisWorkbook"/>
  <xr:revisionPtr revIDLastSave="213" documentId="8_{3380CD49-6228-4CF8-BB7F-A5F3781C44A5}" xr6:coauthVersionLast="47" xr6:coauthVersionMax="47" xr10:uidLastSave="{BC201B18-D537-400A-A5F1-1F84F2027501}"/>
  <bookViews>
    <workbookView xWindow="-108" yWindow="-108" windowWidth="23256" windowHeight="12456" tabRatio="932" firstSheet="21" activeTab="12" xr2:uid="{00000000-000D-0000-FFFF-FFFF00000000}"/>
  </bookViews>
  <sheets>
    <sheet name="Janvier" sheetId="4" r:id="rId1"/>
    <sheet name="Février" sheetId="5" r:id="rId2"/>
    <sheet name="Mars" sheetId="17" r:id="rId3"/>
    <sheet name="Avril" sheetId="18" r:id="rId4"/>
    <sheet name="Mai" sheetId="19" r:id="rId5"/>
    <sheet name="Juin" sheetId="20" r:id="rId6"/>
    <sheet name="Juillet" sheetId="21" r:id="rId7"/>
    <sheet name="Août" sheetId="22" r:id="rId8"/>
    <sheet name="Septembre" sheetId="23" r:id="rId9"/>
    <sheet name="Octobre" sheetId="24" r:id="rId10"/>
    <sheet name="Novembre" sheetId="25" r:id="rId11"/>
    <sheet name="Décembre" sheetId="15" r:id="rId12"/>
    <sheet name="Janvier 2026" sheetId="27" r:id="rId13"/>
    <sheet name="Fevrier 2026" sheetId="29" r:id="rId14"/>
    <sheet name="Mars 2026" sheetId="31" r:id="rId15"/>
    <sheet name="Avril 2026" sheetId="30" r:id="rId16"/>
    <sheet name="Mai 2026" sheetId="28" r:id="rId17"/>
    <sheet name="Juin 2026" sheetId="26" r:id="rId18"/>
    <sheet name="Juillet 2026" sheetId="32" r:id="rId19"/>
    <sheet name="Août 2026" sheetId="33" r:id="rId20"/>
    <sheet name="Septembre 2026" sheetId="34" r:id="rId21"/>
    <sheet name="Octobre 2026" sheetId="35" r:id="rId22"/>
    <sheet name="Novembre 2026" sheetId="36" r:id="rId23"/>
    <sheet name="Décembre 2026" sheetId="37" r:id="rId24"/>
  </sheets>
  <definedNames>
    <definedName name="CalendarYear">Janvier!$AH$6</definedName>
    <definedName name="CléCongé">Janvier!$C$4</definedName>
    <definedName name="CléMaladie">Janvier!$J$4</definedName>
    <definedName name="CléPersonnalisée1">Janvier!$N$4</definedName>
    <definedName name="CléPersonnalisée2">Janvier!$S$4</definedName>
    <definedName name="CléPersonnel">Janvier!$F$4</definedName>
    <definedName name="ÉtiquetteCléCongé">Janvier!$D$4</definedName>
    <definedName name="ÉtiquetteCléMaladie">Janvier!$K$4</definedName>
    <definedName name="ÉtiquetteCléPersonnalisée1">Janvier!$O$4</definedName>
    <definedName name="ÉtiquetteCléPersonnalisée2">Janvier!$T$4</definedName>
    <definedName name="ÉtiquetteCléPersonnel">Janvier!$G$4</definedName>
    <definedName name="_xlnm.Print_Titles" localSheetId="7">Août!$6:$8</definedName>
    <definedName name="_xlnm.Print_Titles" localSheetId="19">'Août 2026'!$6:$8</definedName>
    <definedName name="_xlnm.Print_Titles" localSheetId="3">Avril!$7:$9</definedName>
    <definedName name="_xlnm.Print_Titles" localSheetId="15">'Avril 2026'!$6:$8</definedName>
    <definedName name="_xlnm.Print_Titles" localSheetId="11">Décembre!$6:$8</definedName>
    <definedName name="_xlnm.Print_Titles" localSheetId="23">'Décembre 2026'!$6:$8</definedName>
    <definedName name="_xlnm.Print_Titles" localSheetId="1">Février!$6:$8</definedName>
    <definedName name="_xlnm.Print_Titles" localSheetId="13">'Fevrier 2026'!$6:$8</definedName>
    <definedName name="_xlnm.Print_Titles" localSheetId="0">Janvier!$6:$8</definedName>
    <definedName name="_xlnm.Print_Titles" localSheetId="12">'Janvier 2026'!$6:$8</definedName>
    <definedName name="_xlnm.Print_Titles" localSheetId="6">Juillet!$7:$8</definedName>
    <definedName name="_xlnm.Print_Titles" localSheetId="18">'Juillet 2026'!$7:$8</definedName>
    <definedName name="_xlnm.Print_Titles" localSheetId="5">Juin!$6:$8</definedName>
    <definedName name="_xlnm.Print_Titles" localSheetId="17">'Juin 2026'!$6:$8</definedName>
    <definedName name="_xlnm.Print_Titles" localSheetId="4">Mai!$4:$6</definedName>
    <definedName name="_xlnm.Print_Titles" localSheetId="16">'Mai 2026'!$6:$8</definedName>
    <definedName name="_xlnm.Print_Titles" localSheetId="2">Mars!$6:$8</definedName>
    <definedName name="_xlnm.Print_Titles" localSheetId="14">'Mars 2026'!$6:$8</definedName>
    <definedName name="_xlnm.Print_Titles" localSheetId="10">Novembre!$6:$8</definedName>
    <definedName name="_xlnm.Print_Titles" localSheetId="22">'Novembre 2026'!$6:$8</definedName>
    <definedName name="_xlnm.Print_Titles" localSheetId="9">Octobre!$6:$8</definedName>
    <definedName name="_xlnm.Print_Titles" localSheetId="21">'Octobre 2026'!$6:$8</definedName>
    <definedName name="_xlnm.Print_Titles" localSheetId="8">Septembre!$6:$8</definedName>
    <definedName name="_xlnm.Print_Titles" localSheetId="20">'Septembre 2026'!$6:$8</definedName>
    <definedName name="Nom_clé">Janvier!$B$4</definedName>
    <definedName name="NomMois" localSheetId="7">Août!$B$2</definedName>
    <definedName name="NomMois" localSheetId="19">'Août 2026'!$B$2</definedName>
    <definedName name="NomMois" localSheetId="3">Avril!$B$2</definedName>
    <definedName name="NomMois" localSheetId="15">'Avril 2026'!$B$2</definedName>
    <definedName name="NomMois" localSheetId="11">Décembre!$B$2</definedName>
    <definedName name="NomMois" localSheetId="23">'Décembre 2026'!$B$2</definedName>
    <definedName name="NomMois" localSheetId="1">Février!$B$2</definedName>
    <definedName name="NomMois" localSheetId="13">'Fevrier 2026'!$B$2</definedName>
    <definedName name="NomMois" localSheetId="0">Janvier!$B$2</definedName>
    <definedName name="NomMois" localSheetId="12">'Janvier 2026'!$B$2</definedName>
    <definedName name="NomMois" localSheetId="6">Juillet!$B$2</definedName>
    <definedName name="NomMois" localSheetId="18">'Juillet 2026'!$B$2</definedName>
    <definedName name="NomMois" localSheetId="5">Juin!$B$2</definedName>
    <definedName name="NomMois" localSheetId="17">'Juin 2026'!$B$2</definedName>
    <definedName name="NomMois" localSheetId="4">Mai!$B$4</definedName>
    <definedName name="NomMois" localSheetId="16">'Mai 2026'!$B$2</definedName>
    <definedName name="NomMois" localSheetId="2">Mars!$B$2</definedName>
    <definedName name="NomMois" localSheetId="14">'Mars 2026'!$B$2</definedName>
    <definedName name="NomMois" localSheetId="10">Novembre!$B$2</definedName>
    <definedName name="NomMois" localSheetId="22">'Novembre 2026'!$B$2</definedName>
    <definedName name="NomMois" localSheetId="9">Octobre!$B$2</definedName>
    <definedName name="NomMois" localSheetId="21">'Octobre 2026'!$B$2</definedName>
    <definedName name="NomMois" localSheetId="8">Septembre!$B$2</definedName>
    <definedName name="NomMois" localSheetId="20">'Septembre 2026'!$B$2</definedName>
    <definedName name="Titre_Absence_Employé">Janvier!$B$1</definedName>
    <definedName name="Titre1" localSheetId="19">Janvier[[#Headers],[Materiel Comité]]</definedName>
    <definedName name="Titre1" localSheetId="15">Janvier[[#Headers],[Materiel Comité]]</definedName>
    <definedName name="Titre1" localSheetId="23">Janvier[[#Headers],[Materiel Comité]]</definedName>
    <definedName name="Titre1" localSheetId="13">Janvier[[#Headers],[Materiel Comité]]</definedName>
    <definedName name="Titre1" localSheetId="12">Janvier[[#Headers],[Materiel Comité]]</definedName>
    <definedName name="Titre1" localSheetId="18">Janvier[[#Headers],[Materiel Comité]]</definedName>
    <definedName name="Titre1" localSheetId="17">Janvier[[#Headers],[Materiel Comité]]</definedName>
    <definedName name="Titre1" localSheetId="16">Janvier[[#Headers],[Materiel Comité]]</definedName>
    <definedName name="Titre1" localSheetId="14">Janvier[[#Headers],[Materiel Comité]]</definedName>
    <definedName name="Titre1" localSheetId="22">Janvier[[#Headers],[Materiel Comité]]</definedName>
    <definedName name="Titre1" localSheetId="21">Janvier[[#Headers],[Materiel Comité]]</definedName>
    <definedName name="Titre1" localSheetId="20">Janvier[[#Headers],[Materiel Comité]]</definedName>
    <definedName name="Titre1">Janvier[[#Headers],[Materiel Comité]]</definedName>
    <definedName name="Titre10" localSheetId="19">Octobre[[#Headers],[Materiel Comité]]</definedName>
    <definedName name="Titre10" localSheetId="15">Octobre[[#Headers],[Materiel Comité]]</definedName>
    <definedName name="Titre10" localSheetId="23">Octobre[[#Headers],[Materiel Comité]]</definedName>
    <definedName name="Titre10" localSheetId="13">Octobre[[#Headers],[Materiel Comité]]</definedName>
    <definedName name="Titre10" localSheetId="12">Octobre[[#Headers],[Materiel Comité]]</definedName>
    <definedName name="Titre10" localSheetId="18">Octobre[[#Headers],[Materiel Comité]]</definedName>
    <definedName name="Titre10" localSheetId="17">Octobre[[#Headers],[Materiel Comité]]</definedName>
    <definedName name="Titre10" localSheetId="16">Octobre[[#Headers],[Materiel Comité]]</definedName>
    <definedName name="Titre10" localSheetId="14">Octobre[[#Headers],[Materiel Comité]]</definedName>
    <definedName name="Titre10" localSheetId="22">Octobre[[#Headers],[Materiel Comité]]</definedName>
    <definedName name="Titre10" localSheetId="21">Octobre[[#Headers],[Materiel Comité]]</definedName>
    <definedName name="Titre10" localSheetId="20">Octobre[[#Headers],[Materiel Comité]]</definedName>
    <definedName name="Titre10">Octobre[[#Headers],[Materiel Comité]]</definedName>
    <definedName name="Titre11" localSheetId="19">Novembre[[#Headers],[Materiel Comité]]</definedName>
    <definedName name="Titre11" localSheetId="15">Novembre[[#Headers],[Materiel Comité]]</definedName>
    <definedName name="Titre11" localSheetId="23">Novembre[[#Headers],[Materiel Comité]]</definedName>
    <definedName name="Titre11" localSheetId="13">Novembre[[#Headers],[Materiel Comité]]</definedName>
    <definedName name="Titre11" localSheetId="12">Novembre[[#Headers],[Materiel Comité]]</definedName>
    <definedName name="Titre11" localSheetId="18">Novembre[[#Headers],[Materiel Comité]]</definedName>
    <definedName name="Titre11" localSheetId="17">Novembre[[#Headers],[Materiel Comité]]</definedName>
    <definedName name="Titre11" localSheetId="16">Novembre[[#Headers],[Materiel Comité]]</definedName>
    <definedName name="Titre11" localSheetId="14">Novembre[[#Headers],[Materiel Comité]]</definedName>
    <definedName name="Titre11" localSheetId="22">Novembre[[#Headers],[Materiel Comité]]</definedName>
    <definedName name="Titre11" localSheetId="21">Novembre[[#Headers],[Materiel Comité]]</definedName>
    <definedName name="Titre11" localSheetId="20">Novembre[[#Headers],[Materiel Comité]]</definedName>
    <definedName name="Titre11">Novembre[[#Headers],[Materiel Comité]]</definedName>
    <definedName name="Titre12" localSheetId="19">Décembre[[#Headers],[Materiel Comité]]</definedName>
    <definedName name="Titre12" localSheetId="15">Décembre[[#Headers],[Materiel Comité]]</definedName>
    <definedName name="Titre12" localSheetId="23">Décembre[[#Headers],[Materiel Comité]]</definedName>
    <definedName name="Titre12" localSheetId="13">Décembre[[#Headers],[Materiel Comité]]</definedName>
    <definedName name="Titre12" localSheetId="12">Décembre[[#Headers],[Materiel Comité]]</definedName>
    <definedName name="Titre12" localSheetId="18">Décembre[[#Headers],[Materiel Comité]]</definedName>
    <definedName name="Titre12" localSheetId="17">Décembre[[#Headers],[Materiel Comité]]</definedName>
    <definedName name="Titre12" localSheetId="16">Décembre[[#Headers],[Materiel Comité]]</definedName>
    <definedName name="Titre12" localSheetId="14">Décembre[[#Headers],[Materiel Comité]]</definedName>
    <definedName name="Titre12" localSheetId="22">Décembre[[#Headers],[Materiel Comité]]</definedName>
    <definedName name="Titre12" localSheetId="21">Décembre[[#Headers],[Materiel Comité]]</definedName>
    <definedName name="Titre12" localSheetId="20">Décembre[[#Headers],[Materiel Comité]]</definedName>
    <definedName name="Titre12">Décembre[[#Headers],[Materiel Comité]]</definedName>
    <definedName name="Titre2" localSheetId="19">Février[[#Headers],[Materiel Comité]]</definedName>
    <definedName name="Titre2" localSheetId="15">Février[[#Headers],[Materiel Comité]]</definedName>
    <definedName name="Titre2" localSheetId="23">Février[[#Headers],[Materiel Comité]]</definedName>
    <definedName name="Titre2" localSheetId="13">Février[[#Headers],[Materiel Comité]]</definedName>
    <definedName name="Titre2" localSheetId="12">Février[[#Headers],[Materiel Comité]]</definedName>
    <definedName name="Titre2" localSheetId="18">Février[[#Headers],[Materiel Comité]]</definedName>
    <definedName name="Titre2" localSheetId="17">Février[[#Headers],[Materiel Comité]]</definedName>
    <definedName name="Titre2" localSheetId="16">Février[[#Headers],[Materiel Comité]]</definedName>
    <definedName name="Titre2" localSheetId="14">Février[[#Headers],[Materiel Comité]]</definedName>
    <definedName name="Titre2" localSheetId="22">Février[[#Headers],[Materiel Comité]]</definedName>
    <definedName name="Titre2" localSheetId="21">Février[[#Headers],[Materiel Comité]]</definedName>
    <definedName name="Titre2" localSheetId="20">Février[[#Headers],[Materiel Comité]]</definedName>
    <definedName name="Titre2">Février[[#Headers],[Materiel Comité]]</definedName>
    <definedName name="Titre3" localSheetId="19">Mars[[#Headers],[Materiel Comité]]</definedName>
    <definedName name="Titre3" localSheetId="15">Mars[[#Headers],[Materiel Comité]]</definedName>
    <definedName name="Titre3" localSheetId="23">Mars[[#Headers],[Materiel Comité]]</definedName>
    <definedName name="Titre3" localSheetId="13">Mars[[#Headers],[Materiel Comité]]</definedName>
    <definedName name="Titre3" localSheetId="12">Mars[[#Headers],[Materiel Comité]]</definedName>
    <definedName name="Titre3" localSheetId="18">Mars[[#Headers],[Materiel Comité]]</definedName>
    <definedName name="Titre3" localSheetId="17">Mars[[#Headers],[Materiel Comité]]</definedName>
    <definedName name="Titre3" localSheetId="16">Mars[[#Headers],[Materiel Comité]]</definedName>
    <definedName name="Titre3" localSheetId="14">Mars[[#Headers],[Materiel Comité]]</definedName>
    <definedName name="Titre3" localSheetId="22">Mars[[#Headers],[Materiel Comité]]</definedName>
    <definedName name="Titre3" localSheetId="21">Mars[[#Headers],[Materiel Comité]]</definedName>
    <definedName name="Titre3" localSheetId="20">Mars[[#Headers],[Materiel Comité]]</definedName>
    <definedName name="Titre3">Mars[[#Headers],[Materiel Comité]]</definedName>
    <definedName name="Titre4" localSheetId="19">March5[[#Headers],[Materiel Comité]]</definedName>
    <definedName name="Titre4" localSheetId="15">March5[[#Headers],[Materiel Comité]]</definedName>
    <definedName name="Titre4" localSheetId="23">March5[[#Headers],[Materiel Comité]]</definedName>
    <definedName name="Titre4" localSheetId="13">March5[[#Headers],[Materiel Comité]]</definedName>
    <definedName name="Titre4" localSheetId="12">March5[[#Headers],[Materiel Comité]]</definedName>
    <definedName name="Titre4" localSheetId="18">March5[[#Headers],[Materiel Comité]]</definedName>
    <definedName name="Titre4" localSheetId="17">March5[[#Headers],[Materiel Comité]]</definedName>
    <definedName name="Titre4" localSheetId="16">March5[[#Headers],[Materiel Comité]]</definedName>
    <definedName name="Titre4" localSheetId="14">March5[[#Headers],[Materiel Comité]]</definedName>
    <definedName name="Titre4" localSheetId="22">March5[[#Headers],[Materiel Comité]]</definedName>
    <definedName name="Titre4" localSheetId="21">March5[[#Headers],[Materiel Comité]]</definedName>
    <definedName name="Titre4" localSheetId="20">March5[[#Headers],[Materiel Comité]]</definedName>
    <definedName name="Titre4">March5[[#Headers],[Materiel Comité]]</definedName>
    <definedName name="Titre5" localSheetId="19">March58[[#Headers],[Materiel Comité]]</definedName>
    <definedName name="Titre5" localSheetId="15">March58[[#Headers],[Materiel Comité]]</definedName>
    <definedName name="Titre5" localSheetId="23">March58[[#Headers],[Materiel Comité]]</definedName>
    <definedName name="Titre5" localSheetId="13">March58[[#Headers],[Materiel Comité]]</definedName>
    <definedName name="Titre5" localSheetId="12">March58[[#Headers],[Materiel Comité]]</definedName>
    <definedName name="Titre5" localSheetId="18">March58[[#Headers],[Materiel Comité]]</definedName>
    <definedName name="Titre5" localSheetId="17">March58[[#Headers],[Materiel Comité]]</definedName>
    <definedName name="Titre5" localSheetId="16">March58[[#Headers],[Materiel Comité]]</definedName>
    <definedName name="Titre5" localSheetId="14">March58[[#Headers],[Materiel Comité]]</definedName>
    <definedName name="Titre5" localSheetId="22">March58[[#Headers],[Materiel Comité]]</definedName>
    <definedName name="Titre5" localSheetId="21">March58[[#Headers],[Materiel Comité]]</definedName>
    <definedName name="Titre5" localSheetId="20">March58[[#Headers],[Materiel Comité]]</definedName>
    <definedName name="Titre5">March58[[#Headers],[Materiel Comité]]</definedName>
    <definedName name="Titre6" localSheetId="19">Juin[[#Headers],[Materiel Comité]]</definedName>
    <definedName name="Titre6" localSheetId="15">Juin[[#Headers],[Materiel Comité]]</definedName>
    <definedName name="Titre6" localSheetId="23">Juin[[#Headers],[Materiel Comité]]</definedName>
    <definedName name="Titre6" localSheetId="13">Juin[[#Headers],[Materiel Comité]]</definedName>
    <definedName name="Titre6" localSheetId="12">Juin[[#Headers],[Materiel Comité]]</definedName>
    <definedName name="Titre6" localSheetId="18">Juin[[#Headers],[Materiel Comité]]</definedName>
    <definedName name="Titre6" localSheetId="17">Juin[[#Headers],[Materiel Comité]]</definedName>
    <definedName name="Titre6" localSheetId="16">Juin[[#Headers],[Materiel Comité]]</definedName>
    <definedName name="Titre6" localSheetId="14">Juin[[#Headers],[Materiel Comité]]</definedName>
    <definedName name="Titre6" localSheetId="22">Juin[[#Headers],[Materiel Comité]]</definedName>
    <definedName name="Titre6" localSheetId="21">Juin[[#Headers],[Materiel Comité]]</definedName>
    <definedName name="Titre6" localSheetId="20">Juin[[#Headers],[Materiel Comité]]</definedName>
    <definedName name="Titre6">Juin[[#Headers],[Materiel Comité]]</definedName>
    <definedName name="Titre7" localSheetId="19">Juillet[[#Headers],[Materiel Comité]]</definedName>
    <definedName name="Titre7" localSheetId="15">Juillet[[#Headers],[Materiel Comité]]</definedName>
    <definedName name="Titre7" localSheetId="23">Juillet[[#Headers],[Materiel Comité]]</definedName>
    <definedName name="Titre7" localSheetId="13">Juillet[[#Headers],[Materiel Comité]]</definedName>
    <definedName name="Titre7" localSheetId="12">Juillet[[#Headers],[Materiel Comité]]</definedName>
    <definedName name="Titre7" localSheetId="18">Juillet[[#Headers],[Materiel Comité]]</definedName>
    <definedName name="Titre7" localSheetId="17">Juillet[[#Headers],[Materiel Comité]]</definedName>
    <definedName name="Titre7" localSheetId="16">Juillet[[#Headers],[Materiel Comité]]</definedName>
    <definedName name="Titre7" localSheetId="14">Juillet[[#Headers],[Materiel Comité]]</definedName>
    <definedName name="Titre7" localSheetId="22">Juillet[[#Headers],[Materiel Comité]]</definedName>
    <definedName name="Titre7" localSheetId="21">Juillet[[#Headers],[Materiel Comité]]</definedName>
    <definedName name="Titre7" localSheetId="20">Juillet[[#Headers],[Materiel Comité]]</definedName>
    <definedName name="Titre7">Juillet[[#Headers],[Materiel Comité]]</definedName>
    <definedName name="Titre8" localSheetId="19">Août[[#Headers],[Materiel Comité]]</definedName>
    <definedName name="Titre8" localSheetId="15">Août[[#Headers],[Materiel Comité]]</definedName>
    <definedName name="Titre8" localSheetId="23">Août[[#Headers],[Materiel Comité]]</definedName>
    <definedName name="Titre8" localSheetId="13">Août[[#Headers],[Materiel Comité]]</definedName>
    <definedName name="Titre8" localSheetId="12">Août[[#Headers],[Materiel Comité]]</definedName>
    <definedName name="Titre8" localSheetId="18">Août[[#Headers],[Materiel Comité]]</definedName>
    <definedName name="Titre8" localSheetId="17">Août[[#Headers],[Materiel Comité]]</definedName>
    <definedName name="Titre8" localSheetId="16">Août[[#Headers],[Materiel Comité]]</definedName>
    <definedName name="Titre8" localSheetId="14">Août[[#Headers],[Materiel Comité]]</definedName>
    <definedName name="Titre8" localSheetId="22">Août[[#Headers],[Materiel Comité]]</definedName>
    <definedName name="Titre8" localSheetId="21">Août[[#Headers],[Materiel Comité]]</definedName>
    <definedName name="Titre8" localSheetId="20">Août[[#Headers],[Materiel Comité]]</definedName>
    <definedName name="Titre8">Août[[#Headers],[Materiel Comité]]</definedName>
    <definedName name="Titre9" localSheetId="19">Septembre[[#Headers],[Materiel Comité]]</definedName>
    <definedName name="Titre9" localSheetId="15">Septembre[[#Headers],[Materiel Comité]]</definedName>
    <definedName name="Titre9" localSheetId="23">Septembre[[#Headers],[Materiel Comité]]</definedName>
    <definedName name="Titre9" localSheetId="13">Septembre[[#Headers],[Materiel Comité]]</definedName>
    <definedName name="Titre9" localSheetId="12">Septembre[[#Headers],[Materiel Comité]]</definedName>
    <definedName name="Titre9" localSheetId="18">Septembre[[#Headers],[Materiel Comité]]</definedName>
    <definedName name="Titre9" localSheetId="17">Septembre[[#Headers],[Materiel Comité]]</definedName>
    <definedName name="Titre9" localSheetId="16">Septembre[[#Headers],[Materiel Comité]]</definedName>
    <definedName name="Titre9" localSheetId="14">Septembre[[#Headers],[Materiel Comité]]</definedName>
    <definedName name="Titre9" localSheetId="22">Septembre[[#Headers],[Materiel Comité]]</definedName>
    <definedName name="Titre9" localSheetId="21">Septembre[[#Headers],[Materiel Comité]]</definedName>
    <definedName name="Titre9" localSheetId="20">Septembre[[#Headers],[Materiel Comité]]</definedName>
    <definedName name="Titre9">Septembre[[#Headers],[Materiel Comité]]</definedName>
    <definedName name="TitreColonne13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5" i="27" l="1"/>
  <c r="AG7" i="37"/>
  <c r="AF7" i="37"/>
  <c r="AE7" i="37"/>
  <c r="AD7" i="37"/>
  <c r="AC7" i="37"/>
  <c r="AB7" i="37"/>
  <c r="AA7" i="37"/>
  <c r="Z7" i="37"/>
  <c r="Y7" i="37"/>
  <c r="X7" i="37"/>
  <c r="W7" i="37"/>
  <c r="V7" i="37"/>
  <c r="U7" i="37"/>
  <c r="T7" i="37"/>
  <c r="S7" i="37"/>
  <c r="R7" i="37"/>
  <c r="Q7" i="37"/>
  <c r="P7" i="37"/>
  <c r="O7" i="37"/>
  <c r="N7" i="37"/>
  <c r="M7" i="37"/>
  <c r="L7" i="37"/>
  <c r="K7" i="37"/>
  <c r="J7" i="37"/>
  <c r="I7" i="37"/>
  <c r="H7" i="37"/>
  <c r="G7" i="37"/>
  <c r="F7" i="37"/>
  <c r="E7" i="37"/>
  <c r="D7" i="37"/>
  <c r="C7" i="37"/>
  <c r="AF7" i="36"/>
  <c r="AE7" i="36"/>
  <c r="AD7" i="36"/>
  <c r="AC7" i="36"/>
  <c r="AB7" i="36"/>
  <c r="AA7" i="36"/>
  <c r="Z7" i="36"/>
  <c r="Y7" i="36"/>
  <c r="X7" i="36"/>
  <c r="W7" i="36"/>
  <c r="V7" i="36"/>
  <c r="U7" i="36"/>
  <c r="T7" i="36"/>
  <c r="S7" i="36"/>
  <c r="R7" i="36"/>
  <c r="Q7" i="36"/>
  <c r="P7" i="36"/>
  <c r="O7" i="36"/>
  <c r="N7" i="36"/>
  <c r="M7" i="36"/>
  <c r="L7" i="36"/>
  <c r="K7" i="36"/>
  <c r="J7" i="36"/>
  <c r="I7" i="36"/>
  <c r="H7" i="36"/>
  <c r="G7" i="36"/>
  <c r="F7" i="36"/>
  <c r="E7" i="36"/>
  <c r="D7" i="36"/>
  <c r="C7" i="36"/>
  <c r="AG7" i="35"/>
  <c r="AF7" i="35"/>
  <c r="AE7" i="35"/>
  <c r="AD7" i="35"/>
  <c r="AC7" i="35"/>
  <c r="AB7" i="35"/>
  <c r="AA7" i="35"/>
  <c r="Z7" i="35"/>
  <c r="Y7" i="35"/>
  <c r="X7" i="35"/>
  <c r="W7" i="35"/>
  <c r="V7" i="35"/>
  <c r="U7" i="35"/>
  <c r="T7" i="35"/>
  <c r="S7" i="35"/>
  <c r="R7" i="35"/>
  <c r="Q7" i="35"/>
  <c r="P7" i="35"/>
  <c r="O7" i="35"/>
  <c r="N7" i="35"/>
  <c r="M7" i="35"/>
  <c r="L7" i="35"/>
  <c r="K7" i="35"/>
  <c r="J7" i="35"/>
  <c r="I7" i="35"/>
  <c r="H7" i="35"/>
  <c r="G7" i="35"/>
  <c r="F7" i="35"/>
  <c r="E7" i="35"/>
  <c r="D7" i="35"/>
  <c r="C7" i="35"/>
  <c r="AF7" i="34"/>
  <c r="AE7" i="34"/>
  <c r="AD7" i="34"/>
  <c r="AC7" i="34"/>
  <c r="AB7" i="34"/>
  <c r="AA7" i="34"/>
  <c r="Z7" i="34"/>
  <c r="Y7" i="34"/>
  <c r="X7" i="34"/>
  <c r="W7" i="34"/>
  <c r="V7" i="34"/>
  <c r="U7" i="34"/>
  <c r="T7" i="34"/>
  <c r="S7" i="34"/>
  <c r="R7" i="34"/>
  <c r="Q7" i="34"/>
  <c r="P7" i="34"/>
  <c r="O7" i="34"/>
  <c r="N7" i="34"/>
  <c r="M7" i="34"/>
  <c r="L7" i="34"/>
  <c r="K7" i="34"/>
  <c r="J7" i="34"/>
  <c r="I7" i="34"/>
  <c r="H7" i="34"/>
  <c r="G7" i="34"/>
  <c r="F7" i="34"/>
  <c r="E7" i="34"/>
  <c r="D7" i="34"/>
  <c r="C7" i="34"/>
  <c r="AG7" i="33"/>
  <c r="AF7" i="33"/>
  <c r="AE7" i="33"/>
  <c r="AD7" i="33"/>
  <c r="AC7" i="33"/>
  <c r="AB7" i="33"/>
  <c r="AA7" i="33"/>
  <c r="Z7" i="33"/>
  <c r="Y7" i="33"/>
  <c r="X7" i="33"/>
  <c r="W7" i="33"/>
  <c r="V7" i="33"/>
  <c r="U7" i="33"/>
  <c r="T7" i="33"/>
  <c r="S7" i="33"/>
  <c r="R7" i="33"/>
  <c r="Q7" i="33"/>
  <c r="P7" i="33"/>
  <c r="O7" i="33"/>
  <c r="N7" i="33"/>
  <c r="M7" i="33"/>
  <c r="L7" i="33"/>
  <c r="K7" i="33"/>
  <c r="J7" i="33"/>
  <c r="I7" i="33"/>
  <c r="H7" i="33"/>
  <c r="G7" i="33"/>
  <c r="F7" i="33"/>
  <c r="E7" i="33"/>
  <c r="D7" i="33"/>
  <c r="C7" i="33"/>
  <c r="AG7" i="32"/>
  <c r="AF7" i="32"/>
  <c r="AE7" i="32"/>
  <c r="AD7" i="32"/>
  <c r="AC7" i="32"/>
  <c r="AB7" i="32"/>
  <c r="AA7" i="32"/>
  <c r="Z7" i="32"/>
  <c r="Y7" i="32"/>
  <c r="X7" i="32"/>
  <c r="W7" i="32"/>
  <c r="V7" i="32"/>
  <c r="U7" i="32"/>
  <c r="T7" i="32"/>
  <c r="S7" i="32"/>
  <c r="R7" i="32"/>
  <c r="Q7" i="32"/>
  <c r="P7" i="32"/>
  <c r="O7" i="32"/>
  <c r="N7" i="32"/>
  <c r="M7" i="32"/>
  <c r="L7" i="32"/>
  <c r="K7" i="32"/>
  <c r="J7" i="32"/>
  <c r="I7" i="32"/>
  <c r="H7" i="32"/>
  <c r="G7" i="32"/>
  <c r="F7" i="32"/>
  <c r="E7" i="32"/>
  <c r="D7" i="32"/>
  <c r="C7" i="32"/>
  <c r="AH16" i="37"/>
  <c r="AH15" i="37"/>
  <c r="AH14" i="37"/>
  <c r="AH13" i="37"/>
  <c r="AH12" i="37"/>
  <c r="AH11" i="37"/>
  <c r="AH10" i="37"/>
  <c r="AH9" i="37"/>
  <c r="AH6" i="37"/>
  <c r="AH16" i="36"/>
  <c r="AH15" i="36"/>
  <c r="AH14" i="36"/>
  <c r="AH13" i="36"/>
  <c r="AH12" i="36"/>
  <c r="AH11" i="36"/>
  <c r="AH10" i="36"/>
  <c r="AH9" i="36"/>
  <c r="AH6" i="36"/>
  <c r="AH16" i="35"/>
  <c r="AH15" i="35"/>
  <c r="AH14" i="35"/>
  <c r="AH13" i="35"/>
  <c r="AH12" i="35"/>
  <c r="AH11" i="35"/>
  <c r="AH10" i="35"/>
  <c r="AH9" i="35"/>
  <c r="AH6" i="35"/>
  <c r="AH16" i="34"/>
  <c r="AH15" i="34"/>
  <c r="AH14" i="34"/>
  <c r="AH13" i="34"/>
  <c r="AH12" i="34"/>
  <c r="AH11" i="34"/>
  <c r="AH10" i="34"/>
  <c r="AH9" i="34"/>
  <c r="AH6" i="34"/>
  <c r="AH16" i="33"/>
  <c r="AH15" i="33"/>
  <c r="AH14" i="33"/>
  <c r="AH13" i="33"/>
  <c r="AH12" i="33"/>
  <c r="AH11" i="33"/>
  <c r="AH10" i="33"/>
  <c r="AH9" i="33"/>
  <c r="AH6" i="33"/>
  <c r="AH16" i="32"/>
  <c r="AH15" i="32"/>
  <c r="AH14" i="32"/>
  <c r="AH13" i="32"/>
  <c r="AH12" i="32"/>
  <c r="AH11" i="32"/>
  <c r="AH10" i="32"/>
  <c r="AH9" i="32"/>
  <c r="AH6" i="32"/>
  <c r="J7" i="26"/>
  <c r="K7" i="26"/>
  <c r="L7" i="26"/>
  <c r="M7" i="26"/>
  <c r="N7" i="26"/>
  <c r="O7" i="26"/>
  <c r="P7" i="26"/>
  <c r="Q7" i="26"/>
  <c r="R7" i="26"/>
  <c r="S7" i="26"/>
  <c r="T7" i="26"/>
  <c r="U7" i="26"/>
  <c r="V7" i="26"/>
  <c r="W7" i="26"/>
  <c r="X7" i="26"/>
  <c r="Y7" i="26"/>
  <c r="Z7" i="26"/>
  <c r="AA7" i="26"/>
  <c r="AB7" i="26"/>
  <c r="AC7" i="26"/>
  <c r="AD7" i="26"/>
  <c r="AE7" i="26"/>
  <c r="AF7" i="26"/>
  <c r="I7" i="26"/>
  <c r="H7" i="26"/>
  <c r="G7" i="26"/>
  <c r="F7" i="26"/>
  <c r="E7" i="26"/>
  <c r="D7" i="26"/>
  <c r="C7" i="26"/>
  <c r="J7" i="28"/>
  <c r="K7" i="28"/>
  <c r="L7" i="28"/>
  <c r="M7" i="28"/>
  <c r="N7" i="28"/>
  <c r="O7" i="28"/>
  <c r="P7" i="28"/>
  <c r="Q7" i="28"/>
  <c r="R7" i="28"/>
  <c r="S7" i="28"/>
  <c r="T7" i="28"/>
  <c r="U7" i="28"/>
  <c r="V7" i="28"/>
  <c r="W7" i="28"/>
  <c r="X7" i="28"/>
  <c r="Y7" i="28"/>
  <c r="Z7" i="28"/>
  <c r="AA7" i="28"/>
  <c r="AB7" i="28"/>
  <c r="AC7" i="28"/>
  <c r="AD7" i="28"/>
  <c r="AE7" i="28"/>
  <c r="AF7" i="28"/>
  <c r="AG7" i="28"/>
  <c r="I7" i="28"/>
  <c r="H7" i="28"/>
  <c r="G7" i="28"/>
  <c r="F7" i="28"/>
  <c r="E7" i="28"/>
  <c r="D7" i="28"/>
  <c r="C7" i="28"/>
  <c r="J7" i="30"/>
  <c r="K7" i="30"/>
  <c r="L7" i="30"/>
  <c r="M7" i="30"/>
  <c r="N7" i="30"/>
  <c r="O7" i="30"/>
  <c r="P7" i="30"/>
  <c r="Q7" i="30"/>
  <c r="R7" i="30"/>
  <c r="S7" i="30"/>
  <c r="T7" i="30"/>
  <c r="U7" i="30"/>
  <c r="V7" i="30"/>
  <c r="W7" i="30"/>
  <c r="X7" i="30"/>
  <c r="Y7" i="30"/>
  <c r="Z7" i="30"/>
  <c r="AA7" i="30"/>
  <c r="AB7" i="30"/>
  <c r="AC7" i="30"/>
  <c r="AD7" i="30"/>
  <c r="AE7" i="30"/>
  <c r="AF7" i="30"/>
  <c r="I7" i="30"/>
  <c r="H7" i="30"/>
  <c r="G7" i="30"/>
  <c r="F7" i="30"/>
  <c r="E7" i="30"/>
  <c r="D7" i="30"/>
  <c r="C7" i="30"/>
  <c r="J7" i="31"/>
  <c r="K7" i="31"/>
  <c r="L7" i="31"/>
  <c r="M7" i="31"/>
  <c r="N7" i="31"/>
  <c r="O7" i="31"/>
  <c r="P7" i="31"/>
  <c r="Q7" i="31"/>
  <c r="R7" i="31"/>
  <c r="S7" i="31"/>
  <c r="T7" i="31"/>
  <c r="U7" i="31"/>
  <c r="V7" i="31"/>
  <c r="W7" i="31"/>
  <c r="X7" i="31"/>
  <c r="Y7" i="31"/>
  <c r="Z7" i="31"/>
  <c r="AA7" i="31"/>
  <c r="AB7" i="31"/>
  <c r="AC7" i="31"/>
  <c r="AD7" i="31"/>
  <c r="AE7" i="31"/>
  <c r="AF7" i="31"/>
  <c r="AG7" i="31"/>
  <c r="I7" i="31"/>
  <c r="H7" i="31"/>
  <c r="G7" i="31"/>
  <c r="F7" i="31"/>
  <c r="E7" i="31"/>
  <c r="D7" i="31"/>
  <c r="C7" i="31"/>
  <c r="J7" i="29"/>
  <c r="K7" i="29"/>
  <c r="L7" i="29"/>
  <c r="M7" i="29"/>
  <c r="N7" i="29"/>
  <c r="O7" i="29"/>
  <c r="P7" i="29"/>
  <c r="Q7" i="29"/>
  <c r="R7" i="29"/>
  <c r="S7" i="29"/>
  <c r="T7" i="29"/>
  <c r="U7" i="29"/>
  <c r="V7" i="29"/>
  <c r="W7" i="29"/>
  <c r="X7" i="29"/>
  <c r="Y7" i="29"/>
  <c r="Z7" i="29"/>
  <c r="AA7" i="29"/>
  <c r="AB7" i="29"/>
  <c r="AC7" i="29"/>
  <c r="AD7" i="29"/>
  <c r="I7" i="29"/>
  <c r="H7" i="29"/>
  <c r="G7" i="29"/>
  <c r="F7" i="29"/>
  <c r="E7" i="29"/>
  <c r="D7" i="29"/>
  <c r="C7" i="29"/>
  <c r="J7" i="27"/>
  <c r="K7" i="27"/>
  <c r="L7" i="27"/>
  <c r="M7" i="27"/>
  <c r="N7" i="27"/>
  <c r="O7" i="27"/>
  <c r="P7" i="27"/>
  <c r="Q7" i="27"/>
  <c r="R7" i="27"/>
  <c r="S7" i="27"/>
  <c r="T7" i="27"/>
  <c r="U7" i="27"/>
  <c r="V7" i="27"/>
  <c r="W7" i="27"/>
  <c r="X7" i="27"/>
  <c r="Y7" i="27"/>
  <c r="Z7" i="27"/>
  <c r="AA7" i="27"/>
  <c r="AB7" i="27"/>
  <c r="AC7" i="27"/>
  <c r="AD7" i="27"/>
  <c r="AE7" i="27"/>
  <c r="AF7" i="27"/>
  <c r="AG7" i="27"/>
  <c r="I7" i="27"/>
  <c r="H7" i="27"/>
  <c r="G7" i="27"/>
  <c r="F7" i="27"/>
  <c r="E7" i="27"/>
  <c r="D7" i="27"/>
  <c r="C7" i="27"/>
  <c r="AH6" i="27"/>
  <c r="AE6" i="29"/>
  <c r="AH6" i="31"/>
  <c r="AH6" i="30"/>
  <c r="AH6" i="28"/>
  <c r="AH6" i="26"/>
  <c r="AH16" i="31"/>
  <c r="AH15" i="31"/>
  <c r="AH14" i="31"/>
  <c r="AH13" i="31"/>
  <c r="AH12" i="31"/>
  <c r="AH11" i="31"/>
  <c r="AH10" i="31"/>
  <c r="AH9" i="31"/>
  <c r="AH16" i="30"/>
  <c r="AH15" i="30"/>
  <c r="AH14" i="30"/>
  <c r="AH13" i="30"/>
  <c r="AH12" i="30"/>
  <c r="AH11" i="30"/>
  <c r="AH10" i="30"/>
  <c r="AH9" i="30"/>
  <c r="AH16" i="28"/>
  <c r="AH15" i="28"/>
  <c r="AH14" i="28"/>
  <c r="AH13" i="28"/>
  <c r="AH12" i="28"/>
  <c r="AH11" i="28"/>
  <c r="AH10" i="28"/>
  <c r="AH9" i="28"/>
  <c r="AH16" i="27"/>
  <c r="AH14" i="27"/>
  <c r="AH13" i="27"/>
  <c r="AH12" i="27"/>
  <c r="AH11" i="27"/>
  <c r="AH10" i="27"/>
  <c r="AH9" i="27"/>
  <c r="AH16" i="26"/>
  <c r="AH15" i="26"/>
  <c r="AH14" i="26"/>
  <c r="AH13" i="26"/>
  <c r="AH12" i="26"/>
  <c r="AH11" i="26"/>
  <c r="AH10" i="26"/>
  <c r="AH9" i="26"/>
  <c r="AH12" i="15"/>
  <c r="AH12" i="25"/>
  <c r="AH12" i="24"/>
  <c r="AH12" i="23"/>
  <c r="AH12" i="22"/>
  <c r="AH12" i="21"/>
  <c r="AH12" i="19"/>
  <c r="AH12" i="18"/>
  <c r="AH12" i="17"/>
  <c r="AH12" i="5"/>
  <c r="AH12" i="4"/>
  <c r="AH12" i="20"/>
  <c r="AH16" i="15"/>
  <c r="AH16" i="25"/>
  <c r="AH16" i="24"/>
  <c r="AH16" i="23"/>
  <c r="AH16" i="22"/>
  <c r="AH16" i="21"/>
  <c r="AH16" i="19"/>
  <c r="AH16" i="18"/>
  <c r="AH16" i="17"/>
  <c r="AH16" i="5"/>
  <c r="AH16" i="4"/>
  <c r="AH16" i="20"/>
  <c r="AH15" i="15"/>
  <c r="AH15" i="25"/>
  <c r="AH15" i="24"/>
  <c r="AH15" i="23"/>
  <c r="AH15" i="22"/>
  <c r="AH15" i="21"/>
  <c r="AH15" i="20"/>
  <c r="AH15" i="19"/>
  <c r="AH15" i="18"/>
  <c r="AH15" i="17"/>
  <c r="AH15" i="5"/>
  <c r="AH15" i="4"/>
  <c r="AH14" i="4"/>
  <c r="AH13" i="4"/>
  <c r="AH10" i="4"/>
  <c r="AH9" i="4"/>
  <c r="AH11" i="4"/>
  <c r="AG7" i="15"/>
  <c r="AF7" i="15"/>
  <c r="AE7" i="15"/>
  <c r="AD7" i="15"/>
  <c r="AC7" i="15"/>
  <c r="AB7" i="15"/>
  <c r="AA7" i="15"/>
  <c r="Z7" i="15"/>
  <c r="Y7" i="15"/>
  <c r="X7" i="15"/>
  <c r="W7" i="15"/>
  <c r="V7" i="15"/>
  <c r="U7" i="15"/>
  <c r="T7" i="15"/>
  <c r="S7" i="15"/>
  <c r="R7" i="15"/>
  <c r="Q7" i="15"/>
  <c r="P7" i="15"/>
  <c r="O7" i="15"/>
  <c r="N7" i="15"/>
  <c r="M7" i="15"/>
  <c r="L7" i="15"/>
  <c r="K7" i="15"/>
  <c r="J7" i="15"/>
  <c r="I7" i="15"/>
  <c r="H7" i="15"/>
  <c r="G7" i="15"/>
  <c r="F7" i="15"/>
  <c r="E7" i="15"/>
  <c r="D7" i="15"/>
  <c r="C7" i="15"/>
  <c r="AF7" i="25"/>
  <c r="AE7" i="25"/>
  <c r="AD7" i="25"/>
  <c r="AC7" i="25"/>
  <c r="AB7" i="25"/>
  <c r="AA7" i="25"/>
  <c r="Z7" i="25"/>
  <c r="Y7" i="25"/>
  <c r="X7" i="25"/>
  <c r="W7" i="25"/>
  <c r="V7" i="25"/>
  <c r="U7" i="25"/>
  <c r="T7" i="25"/>
  <c r="S7" i="25"/>
  <c r="R7" i="25"/>
  <c r="Q7" i="25"/>
  <c r="P7" i="25"/>
  <c r="O7" i="25"/>
  <c r="N7" i="25"/>
  <c r="M7" i="25"/>
  <c r="L7" i="25"/>
  <c r="K7" i="25"/>
  <c r="J7" i="25"/>
  <c r="I7" i="25"/>
  <c r="H7" i="25"/>
  <c r="G7" i="25"/>
  <c r="F7" i="25"/>
  <c r="E7" i="25"/>
  <c r="D7" i="25"/>
  <c r="C7" i="25"/>
  <c r="AG7" i="24"/>
  <c r="AF7" i="24"/>
  <c r="AE7" i="24"/>
  <c r="AD7" i="24"/>
  <c r="AC7" i="24"/>
  <c r="AB7" i="24"/>
  <c r="AA7" i="24"/>
  <c r="Z7" i="24"/>
  <c r="Y7" i="24"/>
  <c r="X7" i="24"/>
  <c r="W7" i="24"/>
  <c r="V7" i="24"/>
  <c r="U7" i="24"/>
  <c r="T7" i="24"/>
  <c r="S7" i="24"/>
  <c r="R7" i="24"/>
  <c r="Q7" i="24"/>
  <c r="P7" i="24"/>
  <c r="O7" i="24"/>
  <c r="N7" i="24"/>
  <c r="M7" i="24"/>
  <c r="L7" i="24"/>
  <c r="K7" i="24"/>
  <c r="J7" i="24"/>
  <c r="I7" i="24"/>
  <c r="H7" i="24"/>
  <c r="G7" i="24"/>
  <c r="F7" i="24"/>
  <c r="E7" i="24"/>
  <c r="D7" i="24"/>
  <c r="C7" i="24"/>
  <c r="AF7" i="23"/>
  <c r="AE7" i="23"/>
  <c r="AD7" i="23"/>
  <c r="AC7" i="23"/>
  <c r="AB7" i="23"/>
  <c r="AA7" i="23"/>
  <c r="Z7" i="23"/>
  <c r="Y7" i="23"/>
  <c r="X7" i="23"/>
  <c r="W7" i="23"/>
  <c r="V7" i="23"/>
  <c r="U7" i="23"/>
  <c r="T7" i="23"/>
  <c r="S7" i="23"/>
  <c r="R7" i="23"/>
  <c r="Q7" i="23"/>
  <c r="P7" i="23"/>
  <c r="O7" i="23"/>
  <c r="N7" i="23"/>
  <c r="M7" i="23"/>
  <c r="L7" i="23"/>
  <c r="K7" i="23"/>
  <c r="J7" i="23"/>
  <c r="I7" i="23"/>
  <c r="H7" i="23"/>
  <c r="G7" i="23"/>
  <c r="F7" i="23"/>
  <c r="E7" i="23"/>
  <c r="D7" i="23"/>
  <c r="C7" i="23"/>
  <c r="AG7" i="22"/>
  <c r="AF7" i="22"/>
  <c r="AE7" i="22"/>
  <c r="AD7" i="22"/>
  <c r="AC7" i="22"/>
  <c r="AB7" i="22"/>
  <c r="AA7" i="22"/>
  <c r="Z7" i="22"/>
  <c r="Y7" i="22"/>
  <c r="X7" i="22"/>
  <c r="W7" i="22"/>
  <c r="V7" i="22"/>
  <c r="U7" i="22"/>
  <c r="T7" i="22"/>
  <c r="S7" i="22"/>
  <c r="R7" i="22"/>
  <c r="Q7" i="22"/>
  <c r="P7" i="22"/>
  <c r="O7" i="22"/>
  <c r="N7" i="22"/>
  <c r="M7" i="22"/>
  <c r="L7" i="22"/>
  <c r="K7" i="22"/>
  <c r="J7" i="22"/>
  <c r="I7" i="22"/>
  <c r="H7" i="22"/>
  <c r="G7" i="22"/>
  <c r="F7" i="22"/>
  <c r="E7" i="22"/>
  <c r="D7" i="22"/>
  <c r="C7" i="22"/>
  <c r="AG7" i="21"/>
  <c r="AF7" i="21"/>
  <c r="AE7" i="21"/>
  <c r="AD7" i="21"/>
  <c r="AC7" i="21"/>
  <c r="AB7" i="21"/>
  <c r="AA7" i="21"/>
  <c r="Z7" i="21"/>
  <c r="Y7" i="21"/>
  <c r="X7" i="21"/>
  <c r="W7" i="21"/>
  <c r="V7" i="21"/>
  <c r="U7" i="21"/>
  <c r="T7" i="21"/>
  <c r="S7" i="21"/>
  <c r="R7" i="21"/>
  <c r="Q7" i="21"/>
  <c r="P7" i="21"/>
  <c r="O7" i="21"/>
  <c r="N7" i="21"/>
  <c r="M7" i="21"/>
  <c r="L7" i="21"/>
  <c r="K7" i="21"/>
  <c r="J7" i="21"/>
  <c r="I7" i="21"/>
  <c r="H7" i="21"/>
  <c r="G7" i="21"/>
  <c r="F7" i="21"/>
  <c r="E7" i="21"/>
  <c r="D7" i="21"/>
  <c r="C7" i="21"/>
  <c r="AF7" i="20"/>
  <c r="AE7" i="20"/>
  <c r="AD7" i="20"/>
  <c r="AC7" i="20"/>
  <c r="AB7" i="20"/>
  <c r="AA7" i="20"/>
  <c r="Z7" i="20"/>
  <c r="Y7" i="20"/>
  <c r="X7" i="20"/>
  <c r="W7" i="20"/>
  <c r="V7" i="20"/>
  <c r="U7" i="20"/>
  <c r="T7" i="20"/>
  <c r="S7" i="20"/>
  <c r="R7" i="20"/>
  <c r="Q7" i="20"/>
  <c r="P7" i="20"/>
  <c r="O7" i="20"/>
  <c r="N7" i="20"/>
  <c r="M7" i="20"/>
  <c r="L7" i="20"/>
  <c r="K7" i="20"/>
  <c r="J7" i="20"/>
  <c r="I7" i="20"/>
  <c r="H7" i="20"/>
  <c r="G7" i="20"/>
  <c r="F7" i="20"/>
  <c r="E7" i="20"/>
  <c r="D7" i="20"/>
  <c r="C7" i="20"/>
  <c r="AG7" i="19"/>
  <c r="AF7" i="19"/>
  <c r="AE7" i="19"/>
  <c r="AD7" i="19"/>
  <c r="AC7" i="19"/>
  <c r="AB7" i="19"/>
  <c r="AA7" i="19"/>
  <c r="Z7" i="19"/>
  <c r="Y7" i="19"/>
  <c r="X7" i="19"/>
  <c r="W7" i="19"/>
  <c r="V7" i="19"/>
  <c r="U7" i="19"/>
  <c r="T7" i="19"/>
  <c r="S7" i="19"/>
  <c r="R7" i="19"/>
  <c r="Q7" i="19"/>
  <c r="P7" i="19"/>
  <c r="O7" i="19"/>
  <c r="N7" i="19"/>
  <c r="M7" i="19"/>
  <c r="L7" i="19"/>
  <c r="K7" i="19"/>
  <c r="J7" i="19"/>
  <c r="I7" i="19"/>
  <c r="H7" i="19"/>
  <c r="G7" i="19"/>
  <c r="F7" i="19"/>
  <c r="E7" i="19"/>
  <c r="D7" i="19"/>
  <c r="C7" i="19"/>
  <c r="AF7" i="18"/>
  <c r="AE7" i="18"/>
  <c r="AD7" i="18"/>
  <c r="AC7" i="18"/>
  <c r="AB7" i="18"/>
  <c r="AA7" i="18"/>
  <c r="Z7" i="18"/>
  <c r="Y7" i="18"/>
  <c r="X7" i="18"/>
  <c r="W7" i="18"/>
  <c r="V7" i="18"/>
  <c r="U7" i="18"/>
  <c r="T7" i="18"/>
  <c r="S7" i="18"/>
  <c r="R7" i="18"/>
  <c r="Q7" i="18"/>
  <c r="P7" i="18"/>
  <c r="O7" i="18"/>
  <c r="N7" i="18"/>
  <c r="M7" i="18"/>
  <c r="L7" i="18"/>
  <c r="K7" i="18"/>
  <c r="J7" i="18"/>
  <c r="I7" i="18"/>
  <c r="H7" i="18"/>
  <c r="G7" i="18"/>
  <c r="F7" i="18"/>
  <c r="E7" i="18"/>
  <c r="D7" i="18"/>
  <c r="C7" i="18"/>
  <c r="AG7" i="17"/>
  <c r="AF7" i="17"/>
  <c r="AE7" i="17"/>
  <c r="AD7" i="17"/>
  <c r="AC7" i="17"/>
  <c r="AB7" i="17"/>
  <c r="AA7" i="17"/>
  <c r="Z7" i="17"/>
  <c r="Y7" i="17"/>
  <c r="X7" i="17"/>
  <c r="W7" i="17"/>
  <c r="V7" i="17"/>
  <c r="U7" i="17"/>
  <c r="T7" i="17"/>
  <c r="S7" i="17"/>
  <c r="R7" i="17"/>
  <c r="Q7" i="17"/>
  <c r="P7" i="17"/>
  <c r="O7" i="17"/>
  <c r="N7" i="17"/>
  <c r="M7" i="17"/>
  <c r="L7" i="17"/>
  <c r="K7" i="17"/>
  <c r="J7" i="17"/>
  <c r="I7" i="17"/>
  <c r="H7" i="17"/>
  <c r="G7" i="17"/>
  <c r="F7" i="17"/>
  <c r="E7" i="17"/>
  <c r="D7" i="17"/>
  <c r="C7" i="17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AG7" i="4"/>
  <c r="AF7" i="4"/>
  <c r="AE7" i="4"/>
  <c r="AD7" i="4"/>
  <c r="AC7" i="4"/>
  <c r="AB7" i="4"/>
  <c r="AA7" i="4"/>
  <c r="Z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C7" i="4"/>
  <c r="AH6" i="15" l="1"/>
  <c r="AH6" i="25"/>
  <c r="AH6" i="24"/>
  <c r="AH6" i="23"/>
  <c r="AH6" i="22"/>
  <c r="AH6" i="21"/>
  <c r="AH6" i="20"/>
  <c r="AH14" i="19"/>
  <c r="AH13" i="19"/>
  <c r="AH11" i="19"/>
  <c r="AH10" i="19"/>
  <c r="AH9" i="19"/>
  <c r="AH6" i="19"/>
  <c r="AH14" i="18"/>
  <c r="AH13" i="18"/>
  <c r="AH11" i="18"/>
  <c r="AH10" i="18"/>
  <c r="AH9" i="18"/>
  <c r="AH6" i="18"/>
  <c r="AH6" i="17"/>
  <c r="AH14" i="25" l="1"/>
  <c r="AH13" i="25"/>
  <c r="AH11" i="25"/>
  <c r="AH10" i="25"/>
  <c r="AH9" i="25"/>
  <c r="AH14" i="24"/>
  <c r="AH13" i="24"/>
  <c r="AH11" i="24"/>
  <c r="AH10" i="24"/>
  <c r="AH9" i="24"/>
  <c r="AH14" i="23"/>
  <c r="AH13" i="23"/>
  <c r="AH11" i="23"/>
  <c r="AH10" i="23"/>
  <c r="AH9" i="23"/>
  <c r="AH14" i="22"/>
  <c r="AH13" i="22"/>
  <c r="AH11" i="22"/>
  <c r="AH10" i="22"/>
  <c r="AH9" i="22"/>
  <c r="AH14" i="21"/>
  <c r="AH13" i="21"/>
  <c r="AH11" i="21"/>
  <c r="AH10" i="21"/>
  <c r="AH9" i="21"/>
  <c r="AH14" i="20"/>
  <c r="AH13" i="20"/>
  <c r="AH11" i="20"/>
  <c r="AH10" i="20"/>
  <c r="AH9" i="20"/>
  <c r="AH14" i="17"/>
  <c r="AH13" i="17"/>
  <c r="AH11" i="17"/>
  <c r="AH10" i="17"/>
  <c r="AH9" i="17"/>
  <c r="AH6" i="5" l="1"/>
  <c r="AH9" i="15" l="1"/>
  <c r="AH10" i="15"/>
  <c r="AH11" i="15"/>
  <c r="AH13" i="15"/>
  <c r="AH14" i="15"/>
  <c r="AH14" i="5" l="1"/>
  <c r="AH13" i="5"/>
  <c r="AH11" i="5"/>
  <c r="AH10" i="5"/>
  <c r="AH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tc={04D2F831-FD44-4E77-AC4E-9D8EED7215BB}</author>
    <author>tc={644F4D3A-1BB5-4313-A24D-1492D82FA017}</author>
    <author>tc={57C4D6A7-2D44-467D-B773-9B0FE904743F}</author>
    <author>tc={53045CEF-4F8E-4200-9550-D20914E8AB3B}</author>
  </authors>
  <commentList>
    <comment ref="O9" authorId="0" shapeId="0" xr:uid="{04D2F831-FD44-4E77-AC4E-9D8EED7215BB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Mairie Voisins </t>
      </text>
    </comment>
    <comment ref="Y10" authorId="1" shapeId="0" xr:uid="{644F4D3A-1BB5-4313-A24D-1492D82FA017}">
      <text>
        <t>[Threaded comment]
Your version of Excel allows you to read this threaded comment; however, any edits to it will get removed if the file is opened in a newer version of Excel. Learn more: https://go.microsoft.com/fwlink/?linkid=870924
Comment:
    Triel</t>
      </text>
    </comment>
    <comment ref="AG11" authorId="2" shapeId="0" xr:uid="{57C4D6A7-2D44-467D-B773-9B0FE904743F}">
      <text>
        <t>[Threaded comment]
Your version of Excel allows you to read this threaded comment; however, any edits to it will get removed if the file is opened in a newer version of Excel. Learn more: https://go.microsoft.com/fwlink/?linkid=870924
Comment:
    ARB</t>
      </text>
    </comment>
    <comment ref="AG13" authorId="3" shapeId="0" xr:uid="{53045CEF-4F8E-4200-9550-D20914E8AB3B}">
      <text>
        <t>[Threaded comment]
Your version of Excel allows you to read this threaded comment; however, any edits to it will get removed if the file is opened in a newer version of Excel. Learn more: https://go.microsoft.com/fwlink/?linkid=870924
Comment:
    ARB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tc={9D1D6BE1-167A-4714-BE06-C329DF368927}</author>
    <author>tc={032F9FAC-2280-426B-91D6-43909087F1B3}</author>
    <author>tc={CBCFA78D-6D4B-4035-B9A2-542E5901E1DE}</author>
    <author>tc={424752BC-9B58-492E-AD6A-3370B85E6C3C}</author>
    <author>tc={B4FA7936-43CE-4894-9751-4F05B568C37D}</author>
    <author>tc={F6A41874-1DF6-4D8A-8210-7DE1E9F9F886}</author>
    <author>tc={4A9E93E3-E4B1-481E-B00C-7EB9FB31C87D}</author>
    <author>tc={1CEEAE77-320C-46F2-B5F6-CBD0BCCFBA74}</author>
    <author>tc={9F11A741-117A-4DEA-855C-08359E269238}</author>
    <author>tc={74F77E57-1691-4B5C-9132-25600FA08262}</author>
    <author>tc={C1491A58-7437-45F0-BAB2-417E15D36661}</author>
  </authors>
  <commentList>
    <comment ref="N10" authorId="0" shapeId="0" xr:uid="{9D1D6BE1-167A-4714-BE06-C329DF368927}">
      <text>
        <t>[Threaded comment]
Your version of Excel allows you to read this threaded comment; however, any edits to it will get removed if the file is opened in a newer version of Excel. Learn more: https://go.microsoft.com/fwlink/?linkid=870924
Comment:
    CBS</t>
      </text>
    </comment>
    <comment ref="W10" authorId="1" shapeId="0" xr:uid="{032F9FAC-2280-426B-91D6-43909087F1B3}">
      <text>
        <t>[Threaded comment]
Your version of Excel allows you to read this threaded comment; however, any edits to it will get removed if the file is opened in a newer version of Excel. Learn more: https://go.microsoft.com/fwlink/?linkid=870924
Comment:
    VB</t>
      </text>
    </comment>
    <comment ref="C11" authorId="2" shapeId="0" xr:uid="{CBCFA78D-6D4B-4035-B9A2-542E5901E1DE}">
      <text>
        <t>[Threaded comment]
Your version of Excel allows you to read this threaded comment; however, any edits to it will get removed if the file is opened in a newer version of Excel. Learn more: https://go.microsoft.com/fwlink/?linkid=870924
Comment:
    ARB</t>
      </text>
    </comment>
    <comment ref="O11" authorId="3" shapeId="0" xr:uid="{424752BC-9B58-492E-AD6A-3370B85E6C3C}">
      <text>
        <t>[Threaded comment]
Your version of Excel allows you to read this threaded comment; however, any edits to it will get removed if the file is opened in a newer version of Excel. Learn more: https://go.microsoft.com/fwlink/?linkid=870924
Comment:
    MB</t>
      </text>
    </comment>
    <comment ref="O12" authorId="4" shapeId="0" xr:uid="{B4FA7936-43CE-4894-9751-4F05B568C37D}">
      <text>
        <t>[Threaded comment]
Your version of Excel allows you to read this threaded comment; however, any edits to it will get removed if the file is opened in a newer version of Excel. Learn more: https://go.microsoft.com/fwlink/?linkid=870924
Comment:
    MB</t>
      </text>
    </comment>
    <comment ref="C13" authorId="5" shapeId="0" xr:uid="{F6A41874-1DF6-4D8A-8210-7DE1E9F9F886}">
      <text>
        <t>[Threaded comment]
Your version of Excel allows you to read this threaded comment; however, any edits to it will get removed if the file is opened in a newer version of Excel. Learn more: https://go.microsoft.com/fwlink/?linkid=870924
Comment:
    ARB</t>
      </text>
    </comment>
    <comment ref="O13" authorId="6" shapeId="0" xr:uid="{4A9E93E3-E4B1-481E-B00C-7EB9FB31C87D}">
      <text>
        <t>[Threaded comment]
Your version of Excel allows you to read this threaded comment; however, any edits to it will get removed if the file is opened in a newer version of Excel. Learn more: https://go.microsoft.com/fwlink/?linkid=870924
Comment:
    MB</t>
      </text>
    </comment>
    <comment ref="O14" authorId="7" shapeId="0" xr:uid="{1CEEAE77-320C-46F2-B5F6-CBD0BCCFBA74}">
      <text>
        <t>[Threaded comment]
Your version of Excel allows you to read this threaded comment; however, any edits to it will get removed if the file is opened in a newer version of Excel. Learn more: https://go.microsoft.com/fwlink/?linkid=870924
Comment:
    MB</t>
      </text>
    </comment>
    <comment ref="N15" authorId="8" shapeId="0" xr:uid="{9F11A741-117A-4DEA-855C-08359E269238}">
      <text>
        <t>[Threaded comment]
Your version of Excel allows you to read this threaded comment; however, any edits to it will get removed if the file is opened in a newer version of Excel. Learn more: https://go.microsoft.com/fwlink/?linkid=870924
Comment:
    CBS</t>
      </text>
    </comment>
    <comment ref="W15" authorId="9" shapeId="0" xr:uid="{74F77E57-1691-4B5C-9132-25600FA08262}">
      <text>
        <t>[Threaded comment]
Your version of Excel allows you to read this threaded comment; however, any edits to it will get removed if the file is opened in a newer version of Excel. Learn more: https://go.microsoft.com/fwlink/?linkid=870924
Comment:
    VB</t>
      </text>
    </comment>
    <comment ref="V16" authorId="10" shapeId="0" xr:uid="{C1491A58-7437-45F0-BAB2-417E15D36661}">
      <text>
        <t>[Threaded comment]
Your version of Excel allows you to read this threaded comment; however, any edits to it will get removed if the file is opened in a newer version of Excel. Learn more: https://go.microsoft.com/fwlink/?linkid=870924
Comment:
    BCRL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tc={B35C2E9A-43D7-46D0-979C-0F273256D1AF}</author>
  </authors>
  <commentList>
    <comment ref="S9" authorId="0" shapeId="0" xr:uid="{B35C2E9A-43D7-46D0-979C-0F273256D1AF}">
      <text>
        <t>[Threaded comment]
Your version of Excel allows you to read this threaded comment; however, any edits to it will get removed if the file is opened in a newer version of Excel. Learn more: https://go.microsoft.com/fwlink/?linkid=870924
Comment:
    MYBAD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Comité 78</author>
  </authors>
  <commentList>
    <comment ref="W9" authorId="0" shapeId="0" xr:uid="{F2CEF69C-FC79-4885-BA2A-69324683EF07}">
      <text>
        <r>
          <rPr>
            <sz val="11"/>
            <color theme="0"/>
            <rFont val="Calibri"/>
            <family val="2"/>
          </rPr>
          <t>Comité 78:
USSA</t>
        </r>
      </text>
    </comment>
    <comment ref="AD9" authorId="0" shapeId="0" xr:uid="{4C8CB111-4A0E-4D6B-851D-B8BF2CE9CDAE}">
      <text>
        <r>
          <rPr>
            <sz val="11"/>
            <color theme="0"/>
            <rFont val="Calibri"/>
            <family val="2"/>
          </rPr>
          <t>Comité 78:
USSA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Comité 78</author>
  </authors>
  <commentList>
    <comment ref="G9" authorId="0" shapeId="0" xr:uid="{C77C3479-235F-4BA1-9743-8BDEDE1707A3}">
      <text>
        <r>
          <rPr>
            <sz val="11"/>
            <color theme="0"/>
            <rFont val="Calibri"/>
            <family val="2"/>
          </rPr>
          <t>Comité 78:
Les Cyr Volants le samedi
Mairie de Montigny le vendredi</t>
        </r>
      </text>
    </comment>
    <comment ref="N9" authorId="0" shapeId="0" xr:uid="{E1C028AC-5CCF-49E8-BA33-8E5857F97AAC}">
      <text>
        <r>
          <rPr>
            <sz val="11"/>
            <color theme="0"/>
            <rFont val="Calibri"/>
            <family val="2"/>
          </rPr>
          <t xml:space="preserve">Comité 78:
Rambouillet
</t>
        </r>
      </text>
    </comment>
    <comment ref="T9" authorId="0" shapeId="0" xr:uid="{35C5303C-4597-44EF-AF75-CF5A3F06E39D}">
      <text>
        <r>
          <rPr>
            <sz val="11"/>
            <color theme="0"/>
            <rFont val="Calibri"/>
            <family val="2"/>
          </rPr>
          <t>Comité 78:
BML</t>
        </r>
      </text>
    </comment>
    <comment ref="G13" authorId="0" shapeId="0" xr:uid="{469BB16C-A4A5-4966-A55B-401C4C47FF56}">
      <text>
        <r>
          <rPr>
            <sz val="11"/>
            <color theme="0"/>
            <rFont val="Calibri"/>
            <family val="2"/>
          </rPr>
          <t>Comité 78:
Les Cyr Volants</t>
        </r>
      </text>
    </comment>
    <comment ref="T14" authorId="0" shapeId="0" xr:uid="{49639CE2-6F03-41F8-A099-DEC4FB1AE13D}">
      <text>
        <r>
          <rPr>
            <sz val="11"/>
            <color theme="0"/>
            <rFont val="Calibri"/>
            <family val="2"/>
          </rPr>
          <t>Comité 78:
BML</t>
        </r>
      </text>
    </comment>
    <comment ref="C15" authorId="0" shapeId="0" xr:uid="{4923745C-CFBA-458F-B7E6-DD0C108793B3}">
      <text>
        <r>
          <rPr>
            <sz val="11"/>
            <color theme="0"/>
            <rFont val="Calibri"/>
            <family val="2"/>
          </rPr>
          <t>Comité 78:
Elancourt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Comité 78</author>
  </authors>
  <commentList>
    <comment ref="K9" authorId="0" shapeId="0" xr:uid="{ED363A7F-C2F0-449C-B24D-DCF600202794}">
      <text>
        <r>
          <rPr>
            <sz val="11"/>
            <color theme="0"/>
            <rFont val="Calibri"/>
            <family val="2"/>
          </rPr>
          <t>Comité 78:
LE Perray</t>
        </r>
      </text>
    </comment>
    <comment ref="L9" authorId="0" shapeId="0" xr:uid="{209ADF20-C4C0-427C-A298-B85BDD972E89}">
      <text>
        <r>
          <rPr>
            <sz val="11"/>
            <color theme="0"/>
            <rFont val="Calibri"/>
            <family val="2"/>
          </rPr>
          <t>Comité 78:
Elancourt LVE</t>
        </r>
      </text>
    </comment>
    <comment ref="R9" authorId="0" shapeId="0" xr:uid="{A742176F-9D61-413E-B60D-FB36523AAC1C}">
      <text>
        <r>
          <rPr>
            <sz val="11"/>
            <color theme="0"/>
            <rFont val="Calibri"/>
            <family val="2"/>
          </rPr>
          <t>Comité 78:
CBS</t>
        </r>
      </text>
    </comment>
    <comment ref="AF9" authorId="0" shapeId="0" xr:uid="{B85AC4BE-F1EC-4F87-AEDA-12792D127A80}">
      <text>
        <r>
          <rPr>
            <sz val="11"/>
            <color theme="0"/>
            <rFont val="Calibri"/>
            <family val="2"/>
          </rPr>
          <t>Comité 78:
MB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Comité 78</author>
  </authors>
  <commentList>
    <comment ref="G9" authorId="0" shapeId="0" xr:uid="{5DC7B862-3184-46E7-ACC1-D6CF8AA0EECB}">
      <text>
        <r>
          <rPr>
            <sz val="11"/>
            <color theme="0"/>
            <rFont val="Calibri"/>
            <family val="2"/>
          </rPr>
          <t xml:space="preserve">Comité 78:
ESS
</t>
        </r>
      </text>
    </comment>
    <comment ref="K9" authorId="0" shapeId="0" xr:uid="{98C3008A-30A6-4300-88D2-9919CE8B1BF4}">
      <text>
        <r>
          <rPr>
            <sz val="11"/>
            <color theme="0"/>
            <rFont val="Calibri"/>
            <family val="2"/>
          </rPr>
          <t xml:space="preserve">Comité 78:
ESS
</t>
        </r>
      </text>
    </comment>
    <comment ref="V9" authorId="0" shapeId="0" xr:uid="{901AF429-C862-48BF-B5C1-BFFC8D67A1EA}">
      <text>
        <r>
          <rPr>
            <sz val="11"/>
            <color theme="0"/>
            <rFont val="Calibri"/>
            <family val="2"/>
          </rPr>
          <t xml:space="preserve">Comité 78:
USC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Comité 78</author>
  </authors>
  <commentList>
    <comment ref="R9" authorId="0" shapeId="0" xr:uid="{D0371CC3-C732-44F8-BB6C-4F955A1C0DD9}">
      <text>
        <r>
          <rPr>
            <sz val="11"/>
            <color theme="0"/>
            <rFont val="Calibri"/>
            <family val="2"/>
          </rPr>
          <t>Comité 78:
MYBAD</t>
        </r>
      </text>
    </comment>
  </commentList>
</comments>
</file>

<file path=xl/sharedStrings.xml><?xml version="1.0" encoding="utf-8"?>
<sst xmlns="http://schemas.openxmlformats.org/spreadsheetml/2006/main" count="1289" uniqueCount="61">
  <si>
    <t>Janvier</t>
  </si>
  <si>
    <t>R</t>
  </si>
  <si>
    <t>Réservé</t>
  </si>
  <si>
    <t>C</t>
  </si>
  <si>
    <t>Comité</t>
  </si>
  <si>
    <t>Dates de réservation materiel Comité 78</t>
  </si>
  <si>
    <t>Materiel Comité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</si>
  <si>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</si>
  <si>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</si>
  <si>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</si>
  <si>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</si>
  <si>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</si>
  <si>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</si>
  <si>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</si>
  <si>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</si>
  <si>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</si>
  <si>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</si>
  <si>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</si>
  <si>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</si>
  <si>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</si>
  <si>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</si>
  <si>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</si>
  <si>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</si>
  <si>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</si>
  <si>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</si>
  <si>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</si>
  <si>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</si>
  <si>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</si>
  <si>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</si>
  <si>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</si>
  <si>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</si>
  <si>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</si>
  <si>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</si>
  <si>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</si>
  <si>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</si>
  <si>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</si>
  <si>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</si>
  <si>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</si>
  <si>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Nombre de location</t>
  </si>
  <si>
    <t>Blackminton</t>
  </si>
  <si>
    <t>Structure Gonflable</t>
  </si>
  <si>
    <t>Machine Croque-Monsieur</t>
  </si>
  <si>
    <t>Machine Gaufre</t>
  </si>
  <si>
    <t>Machine hot-dog</t>
  </si>
  <si>
    <t>Sono</t>
  </si>
  <si>
    <t>Machine a volants</t>
  </si>
  <si>
    <t>Tablette scoring</t>
  </si>
  <si>
    <t>Février</t>
  </si>
  <si>
    <t xml:space="preserve"> </t>
  </si>
  <si>
    <t xml:space="preserve">  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</si>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</sst>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* #,##0_);_(* \(#,##0\);_(* &quot;-&quot;_);_(@_)"/>
    <numFmt numFmtId="165" formatCode="_(* #,##0.00_);_(* \(#,##0.00\);_(* &quot;-&quot;??_);_(@_)"/>
    <numFmt numFmtId="166" formatCode="0;0;"/>
  </numFmts>
  <fonts count="32"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72"/>
      <color theme="6" tint="0.39997558519241921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4" tint="9.9948118533890809E-2"/>
      <name val="Calibri"/>
      <family val="2"/>
      <scheme val="minor"/>
    </font>
    <font>
      <b/>
      <sz val="72"/>
      <color theme="4" tint="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72"/>
      <color theme="7" tint="-0.249977111117893"/>
      <name val="Calibri"/>
      <family val="2"/>
      <scheme val="minor"/>
    </font>
    <font>
      <b/>
      <sz val="72"/>
      <color theme="8" tint="-0.249977111117893"/>
      <name val="Calibri"/>
      <family val="2"/>
      <scheme val="minor"/>
    </font>
    <font>
      <sz val="11"/>
      <color theme="1"/>
      <name val="Calibri"/>
      <family val="2"/>
      <charset val="134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0"/>
      <name val="Calibri"/>
      <family val="2"/>
      <charset val="134"/>
    </font>
    <font>
      <sz val="11"/>
      <color rgb="FF9C0006"/>
      <name val="Calibri"/>
      <family val="2"/>
      <charset val="134"/>
    </font>
    <font>
      <b/>
      <sz val="11"/>
      <color rgb="FFFA7D00"/>
      <name val="Calibri"/>
      <family val="2"/>
      <charset val="134"/>
    </font>
    <font>
      <b/>
      <sz val="11"/>
      <color theme="0"/>
      <name val="Calibri"/>
      <family val="2"/>
      <charset val="134"/>
    </font>
    <font>
      <sz val="11"/>
      <color theme="4" tint="-0.499984740745262"/>
      <name val="Calibri"/>
      <family val="2"/>
    </font>
    <font>
      <i/>
      <sz val="11"/>
      <color rgb="FF7F7F7F"/>
      <name val="Calibri"/>
      <family val="2"/>
      <charset val="134"/>
    </font>
    <font>
      <sz val="11"/>
      <color rgb="FF006100"/>
      <name val="Calibri"/>
      <family val="2"/>
      <charset val="134"/>
    </font>
    <font>
      <b/>
      <sz val="26"/>
      <color theme="3" tint="-0.24994659260841701"/>
      <name val="Calibri"/>
      <family val="2"/>
    </font>
    <font>
      <b/>
      <sz val="18"/>
      <color theme="4" tint="-0.24994659260841701"/>
      <name val="Calibri"/>
      <family val="2"/>
    </font>
    <font>
      <sz val="11"/>
      <color rgb="FF3F3F76"/>
      <name val="Calibri"/>
      <family val="2"/>
      <charset val="134"/>
    </font>
    <font>
      <sz val="11"/>
      <color rgb="FFFA7D00"/>
      <name val="Calibri"/>
      <family val="2"/>
      <charset val="134"/>
    </font>
    <font>
      <sz val="11"/>
      <color rgb="FF9C5700"/>
      <name val="Calibri"/>
      <family val="2"/>
      <charset val="134"/>
    </font>
    <font>
      <b/>
      <sz val="11"/>
      <color rgb="FF3F3F3F"/>
      <name val="Calibri"/>
      <family val="2"/>
      <charset val="134"/>
    </font>
    <font>
      <b/>
      <sz val="26"/>
      <color theme="3"/>
      <name val="Calibri"/>
      <family val="2"/>
    </font>
    <font>
      <sz val="11"/>
      <color rgb="FFFF0000"/>
      <name val="Calibri"/>
      <family val="2"/>
      <charset val="134"/>
    </font>
    <font>
      <sz val="9"/>
      <name val="DengXian"/>
      <family val="3"/>
      <charset val="134"/>
    </font>
    <font>
      <b/>
      <sz val="11"/>
      <color rgb="FF000000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8E3E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horizontal="left" vertical="center"/>
    </xf>
    <xf numFmtId="0" fontId="28" fillId="0" borderId="0" applyNumberFormat="0" applyFill="0" applyBorder="0" applyProtection="0">
      <alignment vertical="top"/>
    </xf>
    <xf numFmtId="0" fontId="22" fillId="0" borderId="0" applyNumberFormat="0" applyFill="0" applyBorder="0" applyProtection="0">
      <alignment vertical="top"/>
    </xf>
    <xf numFmtId="0" fontId="23" fillId="2" borderId="0" applyNumberFormat="0" applyBorder="0" applyProtection="0">
      <alignment horizontal="center" vertical="center"/>
    </xf>
    <xf numFmtId="0" fontId="13" fillId="20" borderId="0" applyNumberFormat="0" applyProtection="0">
      <alignment horizontal="right" vertical="center" indent="1"/>
    </xf>
    <xf numFmtId="0" fontId="12" fillId="0" borderId="0" applyNumberFormat="0" applyFill="0" applyBorder="0" applyProtection="0">
      <alignment horizontal="left" vertical="center" indent="2"/>
    </xf>
    <xf numFmtId="0" fontId="14" fillId="3" borderId="0" applyNumberFormat="0" applyBorder="0" applyAlignment="0" applyProtection="0"/>
    <xf numFmtId="0" fontId="12" fillId="4" borderId="0" applyNumberFormat="0" applyBorder="0" applyProtection="0">
      <alignment horizontal="center" vertical="center"/>
    </xf>
    <xf numFmtId="0" fontId="13" fillId="9" borderId="0" applyNumberFormat="0" applyBorder="0" applyAlignment="0" applyProtection="0"/>
    <xf numFmtId="0" fontId="12" fillId="5" borderId="0" applyNumberFormat="0" applyBorder="0" applyAlignment="0" applyProtection="0"/>
    <xf numFmtId="0" fontId="14" fillId="7" borderId="0" applyNumberFormat="0" applyBorder="0" applyAlignment="0" applyProtection="0"/>
    <xf numFmtId="0" fontId="12" fillId="6" borderId="0" applyNumberFormat="0" applyBorder="0" applyAlignment="0" applyProtection="0"/>
    <xf numFmtId="0" fontId="13" fillId="15" borderId="0" applyNumberFormat="0" applyBorder="0" applyAlignment="0" applyProtection="0"/>
    <xf numFmtId="0" fontId="12" fillId="8" borderId="0" applyNumberFormat="0" applyBorder="0" applyAlignment="0" applyProtection="0"/>
    <xf numFmtId="0" fontId="14" fillId="15" borderId="0" applyNumberFormat="0" applyBorder="0" applyAlignment="0" applyProtection="0"/>
    <xf numFmtId="0" fontId="12" fillId="18" borderId="0" applyNumberFormat="0" applyBorder="0" applyAlignment="0" applyProtection="0"/>
    <xf numFmtId="0" fontId="13" fillId="17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3" fillId="10" borderId="0" applyNumberFormat="0" applyBorder="0" applyAlignment="0" applyProtection="0"/>
    <xf numFmtId="0" fontId="14" fillId="11" borderId="0" applyNumberFormat="0" applyBorder="0" applyAlignment="0" applyProtection="0"/>
    <xf numFmtId="0" fontId="12" fillId="2" borderId="0" applyNumberFormat="0" applyBorder="0" applyAlignment="0" applyProtection="0"/>
    <xf numFmtId="0" fontId="13" fillId="12" borderId="0" applyNumberFormat="0" applyBorder="0" applyProtection="0">
      <alignment horizontal="left" vertical="center" indent="1"/>
    </xf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1" fontId="12" fillId="0" borderId="0" applyFill="0" applyBorder="0" applyProtection="0">
      <alignment horizontal="center" vertical="center"/>
    </xf>
    <xf numFmtId="0" fontId="12" fillId="0" borderId="0" applyNumberFormat="0" applyFill="0" applyBorder="0">
      <alignment horizontal="left" vertical="center" wrapText="1" indent="2"/>
    </xf>
    <xf numFmtId="0" fontId="19" fillId="0" borderId="0">
      <alignment horizontal="center"/>
    </xf>
    <xf numFmtId="165" fontId="14" fillId="0" borderId="0" applyFont="0" applyFill="0" applyBorder="0" applyAlignment="0" applyProtection="0">
      <alignment vertical="center"/>
    </xf>
    <xf numFmtId="16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4" fillId="25" borderId="5" applyNumberFormat="0" applyAlignment="0" applyProtection="0">
      <alignment vertical="center"/>
    </xf>
    <xf numFmtId="0" fontId="27" fillId="26" borderId="6" applyNumberFormat="0" applyAlignment="0" applyProtection="0">
      <alignment vertical="center"/>
    </xf>
    <xf numFmtId="0" fontId="17" fillId="26" borderId="5" applyNumberFormat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8" fillId="27" borderId="8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28" borderId="9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44">
    <xf numFmtId="0" fontId="0" fillId="0" borderId="0" xfId="0">
      <alignment horizontal="left" vertical="center"/>
    </xf>
    <xf numFmtId="0" fontId="0" fillId="0" borderId="0" xfId="0" applyAlignment="1">
      <alignment horizontal="center" vertical="center"/>
    </xf>
    <xf numFmtId="0" fontId="12" fillId="0" borderId="0" xfId="26" applyFill="1" applyBorder="1">
      <alignment horizontal="left" vertical="center" wrapText="1" indent="2"/>
    </xf>
    <xf numFmtId="1" fontId="12" fillId="0" borderId="0" xfId="25" applyFill="1" applyBorder="1" applyProtection="1">
      <alignment horizontal="center" vertical="center"/>
    </xf>
    <xf numFmtId="0" fontId="23" fillId="0" borderId="0" xfId="3" applyFill="1" applyProtection="1">
      <alignment horizontal="center" vertical="center"/>
    </xf>
    <xf numFmtId="0" fontId="13" fillId="0" borderId="0" xfId="4" applyFill="1" applyAlignment="1" applyProtection="1">
      <alignment horizontal="left" vertical="center" indent="1"/>
    </xf>
    <xf numFmtId="0" fontId="0" fillId="0" borderId="1" xfId="0" applyBorder="1">
      <alignment horizontal="left" vertical="center"/>
    </xf>
    <xf numFmtId="0" fontId="28" fillId="0" borderId="2" xfId="1" applyBorder="1" applyAlignment="1" applyProtection="1">
      <alignment vertical="center"/>
    </xf>
    <xf numFmtId="0" fontId="0" fillId="0" borderId="2" xfId="0" applyBorder="1">
      <alignment horizontal="left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wrapText="1" indent="1"/>
    </xf>
    <xf numFmtId="0" fontId="0" fillId="0" borderId="0" xfId="0" applyAlignment="1">
      <alignment horizontal="left" indent="1"/>
    </xf>
    <xf numFmtId="0" fontId="0" fillId="0" borderId="3" xfId="0" applyBorder="1" applyAlignment="1">
      <alignment horizontal="left" indent="1"/>
    </xf>
    <xf numFmtId="0" fontId="0" fillId="0" borderId="4" xfId="0" applyBorder="1">
      <alignment horizontal="left" vertical="center"/>
    </xf>
    <xf numFmtId="0" fontId="19" fillId="0" borderId="4" xfId="27" applyBorder="1">
      <alignment horizontal="center"/>
    </xf>
    <xf numFmtId="0" fontId="2" fillId="0" borderId="0" xfId="0" applyFont="1" applyAlignment="1">
      <alignment horizontal="center" vertical="center"/>
    </xf>
    <xf numFmtId="0" fontId="12" fillId="0" borderId="0" xfId="21" applyFill="1" applyBorder="1" applyAlignment="1" applyProtection="1">
      <alignment horizontal="left" vertical="center" indent="1"/>
    </xf>
    <xf numFmtId="0" fontId="1" fillId="0" borderId="0" xfId="0" applyFont="1" applyAlignment="1">
      <alignment horizontal="center" vertical="center"/>
    </xf>
    <xf numFmtId="0" fontId="12" fillId="21" borderId="0" xfId="21" applyFill="1" applyBorder="1" applyAlignment="1" applyProtection="1">
      <alignment horizontal="center" vertical="center"/>
    </xf>
    <xf numFmtId="0" fontId="4" fillId="0" borderId="0" xfId="3" applyFont="1" applyFill="1" applyAlignment="1" applyProtection="1">
      <alignment horizontal="left" vertical="top"/>
    </xf>
    <xf numFmtId="0" fontId="6" fillId="0" borderId="0" xfId="1" applyFont="1" applyAlignment="1" applyProtection="1">
      <alignment horizontal="left" indent="1"/>
    </xf>
    <xf numFmtId="0" fontId="7" fillId="0" borderId="0" xfId="3" applyFont="1" applyFill="1" applyAlignment="1" applyProtection="1">
      <alignment vertical="top"/>
    </xf>
    <xf numFmtId="0" fontId="7" fillId="0" borderId="0" xfId="3" applyFont="1" applyFill="1" applyAlignment="1" applyProtection="1">
      <alignment horizontal="left" vertical="top"/>
    </xf>
    <xf numFmtId="0" fontId="8" fillId="15" borderId="0" xfId="12" applyFont="1" applyAlignment="1" applyProtection="1">
      <alignment horizontal="center" vertical="center"/>
    </xf>
    <xf numFmtId="0" fontId="9" fillId="0" borderId="0" xfId="3" applyFont="1" applyFill="1" applyAlignment="1" applyProtection="1">
      <alignment horizontal="left" vertical="top"/>
    </xf>
    <xf numFmtId="0" fontId="10" fillId="0" borderId="0" xfId="3" applyFont="1" applyFill="1" applyAlignment="1" applyProtection="1">
      <alignment horizontal="left" vertical="top"/>
    </xf>
    <xf numFmtId="0" fontId="10" fillId="0" borderId="0" xfId="3" applyFont="1" applyFill="1" applyAlignment="1" applyProtection="1">
      <alignment vertical="top"/>
    </xf>
    <xf numFmtId="0" fontId="12" fillId="0" borderId="0" xfId="21" applyFill="1" applyAlignment="1" applyProtection="1">
      <alignment vertical="center"/>
    </xf>
    <xf numFmtId="1" fontId="12" fillId="0" borderId="0" xfId="25">
      <alignment horizontal="center" vertical="center"/>
    </xf>
    <xf numFmtId="1" fontId="12" fillId="0" borderId="0" xfId="25" applyProtection="1">
      <alignment horizontal="center" vertical="center"/>
    </xf>
    <xf numFmtId="166" fontId="3" fillId="0" borderId="0" xfId="24" applyNumberFormat="1" applyFont="1" applyFill="1" applyAlignment="1" applyProtection="1">
      <alignment horizontal="center" vertical="center"/>
    </xf>
    <xf numFmtId="166" fontId="3" fillId="0" borderId="0" xfId="8" applyNumberFormat="1" applyFont="1" applyFill="1" applyAlignment="1" applyProtection="1">
      <alignment horizontal="center" vertical="center"/>
    </xf>
    <xf numFmtId="0" fontId="8" fillId="0" borderId="0" xfId="23" applyFont="1" applyFill="1" applyAlignment="1" applyProtection="1">
      <alignment horizontal="center" vertical="center"/>
    </xf>
    <xf numFmtId="1" fontId="2" fillId="0" borderId="0" xfId="25" applyFont="1" applyProtection="1">
      <alignment horizontal="center" vertical="center"/>
    </xf>
    <xf numFmtId="0" fontId="8" fillId="34" borderId="0" xfId="19" applyFont="1" applyFill="1" applyAlignment="1" applyProtection="1">
      <alignment horizontal="center" vertical="center"/>
    </xf>
    <xf numFmtId="0" fontId="12" fillId="0" borderId="0" xfId="26" applyNumberFormat="1" applyFill="1" applyBorder="1">
      <alignment horizontal="left" vertical="center" wrapText="1" indent="2"/>
    </xf>
    <xf numFmtId="0" fontId="12" fillId="0" borderId="0" xfId="26" applyNumberFormat="1" applyFill="1" applyBorder="1" applyProtection="1">
      <alignment horizontal="left" vertical="center" wrapText="1" indent="2"/>
    </xf>
    <xf numFmtId="0" fontId="0" fillId="0" borderId="0" xfId="0" applyAlignment="1" applyProtection="1">
      <alignment horizontal="center" vertical="center"/>
    </xf>
    <xf numFmtId="1" fontId="12" fillId="0" borderId="0" xfId="25" applyAlignment="1" applyProtection="1">
      <alignment horizontal="center" vertical="center"/>
    </xf>
    <xf numFmtId="0" fontId="12" fillId="0" borderId="0" xfId="26" applyFill="1" applyBorder="1" applyProtection="1">
      <alignment horizontal="left" vertical="center" wrapText="1" indent="2"/>
    </xf>
    <xf numFmtId="0" fontId="23" fillId="0" borderId="0" xfId="3" applyFill="1" applyAlignment="1" applyProtection="1">
      <alignment horizontal="left" vertical="center"/>
    </xf>
    <xf numFmtId="0" fontId="13" fillId="0" borderId="0" xfId="21" applyFont="1" applyFill="1" applyAlignment="1" applyProtection="1">
      <alignment horizontal="left" vertical="center" indent="1"/>
    </xf>
    <xf numFmtId="0" fontId="12" fillId="0" borderId="0" xfId="21" applyFill="1" applyAlignment="1" applyProtection="1">
      <alignment horizontal="left" vertical="center" indent="1"/>
    </xf>
    <xf numFmtId="0" fontId="31" fillId="0" borderId="0" xfId="21" applyFont="1" applyFill="1" applyAlignment="1" applyProtection="1">
      <alignment horizontal="left" vertical="center" indent="1"/>
    </xf>
  </cellXfs>
  <cellStyles count="49">
    <cellStyle name="20 % - Accent1" xfId="15" builtinId="30" customBuiltin="1"/>
    <cellStyle name="20 % - Accent2" xfId="44" builtinId="34" customBuiltin="1"/>
    <cellStyle name="20 % - Accent3" xfId="21" builtinId="38" customBuiltin="1"/>
    <cellStyle name="20 % - Accent4" xfId="7" builtinId="42" customBuiltin="1"/>
    <cellStyle name="20 % - Accent5" xfId="47" builtinId="46" customBuiltin="1"/>
    <cellStyle name="20 % - Accent6" xfId="11" builtinId="50" customBuiltin="1"/>
    <cellStyle name="40 % - Accent1" xfId="16" builtinId="31" customBuiltin="1"/>
    <cellStyle name="40 % - Accent2" xfId="19" builtinId="35" customBuiltin="1"/>
    <cellStyle name="40 % - Accent3" xfId="22" builtinId="39" customBuiltin="1"/>
    <cellStyle name="40 % - Accent4" xfId="8" builtinId="43" customBuiltin="1"/>
    <cellStyle name="40 % - Accent5" xfId="24" builtinId="47" customBuiltin="1"/>
    <cellStyle name="40 % - Accent6" xfId="12" builtinId="51" customBuiltin="1"/>
    <cellStyle name="60 % - Accent1" xfId="17" builtinId="32" customBuiltin="1"/>
    <cellStyle name="60 % - Accent2" xfId="45" builtinId="36" customBuiltin="1"/>
    <cellStyle name="60 % - Accent3" xfId="23" builtinId="40" customBuiltin="1"/>
    <cellStyle name="60 % - Accent4" xfId="9" builtinId="44" customBuiltin="1"/>
    <cellStyle name="60 % - Accent5" xfId="48" builtinId="48" customBuiltin="1"/>
    <cellStyle name="60 % - Accent6" xfId="13" builtinId="52" customBuiltin="1"/>
    <cellStyle name="Accent1" xfId="14" builtinId="29" customBuiltin="1"/>
    <cellStyle name="Accent2" xfId="18" builtinId="33" customBuiltin="1"/>
    <cellStyle name="Accent3" xfId="20" builtinId="37" customBuiltin="1"/>
    <cellStyle name="Accent4" xfId="6" builtinId="41" customBuiltin="1"/>
    <cellStyle name="Accent5" xfId="46" builtinId="45" customBuiltin="1"/>
    <cellStyle name="Accent6" xfId="10" builtinId="49" customBuiltin="1"/>
    <cellStyle name="Avertissement" xfId="41" builtinId="11" customBuiltin="1"/>
    <cellStyle name="Calcul" xfId="38" builtinId="22" customBuiltin="1"/>
    <cellStyle name="Cellule liée" xfId="39" builtinId="24" customBuiltin="1"/>
    <cellStyle name="Commentaire" xfId="42" builtinId="10" customBuiltin="1"/>
    <cellStyle name="Employé" xfId="26" xr:uid="{00000000-0005-0000-0000-000013000000}"/>
    <cellStyle name="Entrée" xfId="36" builtinId="20" customBuiltin="1"/>
    <cellStyle name="Étiquette" xfId="27" xr:uid="{00000000-0005-0000-0000-000018000000}"/>
    <cellStyle name="Insatisfaisant" xfId="34" builtinId="27" customBuiltin="1"/>
    <cellStyle name="Milliers" xfId="28" builtinId="3" customBuiltin="1"/>
    <cellStyle name="Milliers [0]" xfId="29" builtinId="6" customBuiltin="1"/>
    <cellStyle name="Monétaire" xfId="30" builtinId="4" customBuiltin="1"/>
    <cellStyle name="Monétaire [0]" xfId="31" builtinId="7" customBuiltin="1"/>
    <cellStyle name="Neutre" xfId="35" builtinId="28" customBuiltin="1"/>
    <cellStyle name="Normal" xfId="0" builtinId="0" customBuiltin="1"/>
    <cellStyle name="Pourcentage" xfId="32" builtinId="5" customBuiltin="1"/>
    <cellStyle name="Satisfaisant" xfId="33" builtinId="26" customBuiltin="1"/>
    <cellStyle name="Sortie" xfId="37" builtinId="21" customBuiltin="1"/>
    <cellStyle name="Texte explicatif" xfId="43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25" builtinId="25" customBuiltin="1"/>
    <cellStyle name="Vérification" xfId="40" builtinId="23" customBuiltin="1"/>
  </cellStyles>
  <dxfs count="1741"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protection locked="1" hidden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protection locked="1" hidden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protection locked="1" hidden="0"/>
    </dxf>
    <dxf>
      <font>
        <b val="0"/>
        <i val="0"/>
        <color theme="3"/>
      </font>
      <border>
        <vertical/>
        <horizontal/>
      </border>
    </dxf>
    <dxf>
      <font>
        <color theme="0"/>
      </font>
      <border>
        <vertical/>
        <horizontal/>
      </border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 patternType="solid">
          <bgColor theme="5" tint="0.39994506668294322"/>
        </patternFill>
      </fill>
      <border diagonalUp="0" diagonalDown="0">
        <left/>
        <right/>
        <top style="thin">
          <color theme="5" tint="0.59996337778862885"/>
        </top>
        <bottom style="thick">
          <color theme="5"/>
        </bottom>
        <vertical style="thick">
          <color theme="0"/>
        </vertical>
        <horizontal style="thin">
          <color theme="5" tint="0.59996337778862885"/>
        </horizontal>
      </border>
    </dxf>
    <dxf>
      <font>
        <color theme="1"/>
      </font>
      <fill>
        <patternFill patternType="solid">
          <bgColor theme="5" tint="0.39994506668294322"/>
        </patternFill>
      </fill>
      <border diagonalUp="0" diagonalDown="0">
        <left/>
        <right/>
        <top style="thin">
          <color theme="5" tint="0.59996337778862885"/>
        </top>
        <bottom style="thick">
          <color theme="5"/>
        </bottom>
        <vertical style="thick">
          <color theme="0"/>
        </vertical>
        <horizontal style="thin">
          <color theme="5" tint="0.59996337778862885"/>
        </horizontal>
      </border>
    </dxf>
    <dxf>
      <font>
        <color theme="1"/>
      </font>
      <fill>
        <patternFill patternType="solid">
          <bgColor theme="2"/>
        </patternFill>
      </fill>
      <border diagonalUp="0" diagonalDown="0">
        <left/>
        <right/>
        <top/>
        <bottom style="thin">
          <color theme="0" tint="-0.14996795556505021"/>
        </bottom>
        <vertical/>
        <horizontal/>
      </border>
    </dxf>
    <dxf>
      <font>
        <color theme="1"/>
      </font>
      <fill>
        <patternFill patternType="none">
          <bgColor auto="1"/>
        </patternFill>
      </fill>
      <border diagonalUp="0" diagonalDown="0">
        <left/>
        <right/>
        <top style="thin">
          <color theme="0" tint="-0.14996795556505021"/>
        </top>
        <bottom style="thin">
          <color theme="0" tint="-0.14993743705557422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theme="0"/>
        </left>
        <right style="thin">
          <color theme="0"/>
        </right>
        <vertical style="thin">
          <color theme="0"/>
        </vertical>
      </border>
    </dxf>
    <dxf>
      <fill>
        <patternFill>
          <bgColor theme="0" tint="-4.9989318521683403E-2"/>
        </patternFill>
      </fill>
      <border>
        <left style="thin">
          <color theme="0"/>
        </left>
        <right style="thin">
          <color theme="0"/>
        </right>
        <top style="thick">
          <color theme="5" tint="0.59996337778862885"/>
        </top>
        <bottom style="thick">
          <color theme="5" tint="0.59996337778862885"/>
        </bottom>
        <vertical style="thin">
          <color theme="0"/>
        </vertical>
        <horizontal style="thick">
          <color theme="5" tint="0.59996337778862885"/>
        </horizontal>
      </border>
    </dxf>
    <dxf>
      <fill>
        <patternFill>
          <bgColor theme="5" tint="0.79998168889431442"/>
        </patternFill>
      </fill>
      <border>
        <top style="thick">
          <color theme="0"/>
        </top>
        <bottom style="thick">
          <color theme="0"/>
        </bottom>
        <horizontal style="thick">
          <color theme="0"/>
        </horizontal>
      </border>
    </dxf>
    <dxf>
      <fill>
        <patternFill patternType="none">
          <fgColor auto="1"/>
          <bgColor auto="1"/>
        </patternFill>
      </fill>
      <border>
        <top style="thick">
          <color theme="0"/>
        </top>
        <bottom style="thick">
          <color theme="0"/>
        </bottom>
        <horizontal style="thick">
          <color theme="0"/>
        </horizontal>
      </border>
    </dxf>
    <dxf>
      <font>
        <b/>
        <i val="0"/>
        <color theme="1"/>
      </font>
      <fill>
        <patternFill patternType="none">
          <bgColor auto="1"/>
        </patternFill>
      </fill>
      <border diagonalUp="0" diagonalDown="0">
        <left/>
        <right/>
        <top style="thin">
          <color theme="5" tint="0.59996337778862885"/>
        </top>
        <bottom style="thin">
          <color theme="5" tint="0.59996337778862885"/>
        </bottom>
        <vertical/>
        <horizontal style="thin">
          <color theme="5" tint="0.59996337778862885"/>
        </horizontal>
      </border>
    </dxf>
    <dxf>
      <font>
        <color theme="1"/>
      </font>
      <fill>
        <patternFill patternType="none">
          <bgColor auto="1"/>
        </patternFill>
      </fill>
      <border>
        <left/>
        <right/>
        <top style="thin">
          <color theme="5" tint="0.59996337778862885"/>
        </top>
        <bottom style="thin">
          <color theme="5" tint="0.59996337778862885"/>
        </bottom>
        <vertical/>
        <horizontal style="thin">
          <color theme="5" tint="0.59996337778862885"/>
        </horizontal>
      </border>
    </dxf>
    <dxf>
      <font>
        <color theme="1"/>
      </font>
      <fill>
        <patternFill>
          <bgColor theme="5" tint="0.39994506668294322"/>
        </patternFill>
      </fill>
      <border diagonalUp="0" diagonalDown="0">
        <left style="thin">
          <color theme="0"/>
        </left>
        <right style="thin">
          <color theme="0"/>
        </right>
        <top style="thick">
          <color theme="0"/>
        </top>
        <bottom style="thick">
          <color theme="5"/>
        </bottom>
        <vertical style="thick">
          <color theme="0"/>
        </vertical>
        <horizontal/>
      </border>
    </dxf>
    <dxf>
      <font>
        <color theme="0"/>
      </font>
      <fill>
        <patternFill>
          <bgColor theme="5" tint="-0.24994659260841701"/>
        </patternFill>
      </fill>
      <border>
        <top style="thin">
          <color theme="5" tint="0.59996337778862885"/>
        </top>
        <bottom style="thin">
          <color theme="5" tint="0.59996337778862885"/>
        </bottom>
        <horizontal style="thin">
          <color theme="5" tint="0.59996337778862885"/>
        </horizontal>
      </border>
    </dxf>
    <dxf>
      <font>
        <b/>
        <i val="0"/>
        <color theme="0"/>
      </font>
      <border diagonalUp="0" diagonalDown="0">
        <left/>
        <right/>
        <top/>
        <bottom style="thick">
          <color theme="0"/>
        </bottom>
        <vertical style="thick">
          <color theme="0"/>
        </vertical>
        <horizontal style="thick">
          <color theme="0"/>
        </horizontal>
      </border>
    </dxf>
    <dxf>
      <fill>
        <patternFill patternType="solid">
          <fgColor theme="5" tint="0.39994506668294322"/>
          <bgColor theme="5" tint="0.39991454817346722"/>
        </patternFill>
      </fill>
      <border diagonalUp="0" diagonalDown="0">
        <left/>
        <right/>
        <top style="thin">
          <color theme="5" tint="0.59996337778862885"/>
        </top>
        <bottom style="thick">
          <color theme="5"/>
        </bottom>
        <vertical style="thick">
          <color theme="0"/>
        </vertical>
        <horizontal style="thin">
          <color theme="5" tint="0.59996337778862885"/>
        </horizontal>
      </border>
    </dxf>
    <dxf>
      <font>
        <color theme="1"/>
      </font>
      <fill>
        <patternFill patternType="solid">
          <fgColor theme="5" tint="0.39994506668294322"/>
          <bgColor theme="5" tint="0.39991454817346722"/>
        </patternFill>
      </fill>
      <border diagonalUp="0" diagonalDown="0">
        <left/>
        <right/>
        <top style="thin">
          <color theme="5" tint="0.59996337778862885"/>
        </top>
        <bottom style="thick">
          <color theme="5"/>
        </bottom>
        <vertical style="thick">
          <color theme="0"/>
        </vertical>
        <horizontal style="thin">
          <color theme="5" tint="0.59996337778862885"/>
        </horizontal>
      </border>
    </dxf>
    <dxf>
      <font>
        <color auto="1"/>
      </font>
      <fill>
        <patternFill patternType="none">
          <bgColor auto="1"/>
        </patternFill>
      </fill>
      <border diagonalUp="0" diagonalDown="0">
        <left/>
        <right/>
        <top style="thin">
          <color theme="5" tint="0.59996337778862885"/>
        </top>
        <bottom style="thin">
          <color theme="5" tint="0.59996337778862885"/>
        </bottom>
        <vertical/>
        <horizontal style="thin">
          <color theme="5" tint="0.59996337778862885"/>
        </horizontal>
      </border>
    </dxf>
    <dxf>
      <font>
        <color auto="1"/>
      </font>
      <fill>
        <patternFill patternType="none">
          <bgColor auto="1"/>
        </patternFill>
      </fill>
      <border diagonalUp="0" diagonalDown="0">
        <left/>
        <right/>
        <top style="thin">
          <color theme="5" tint="0.59996337778862885"/>
        </top>
        <bottom style="thin">
          <color theme="5" tint="0.59996337778862885"/>
        </bottom>
        <vertical/>
        <horizontal style="thin">
          <color theme="5" tint="0.59996337778862885"/>
        </horizontal>
      </border>
    </dxf>
    <dxf>
      <fill>
        <patternFill>
          <bgColor theme="5" tint="0.79998168889431442"/>
        </patternFill>
      </fill>
      <border>
        <top style="thick">
          <color theme="0"/>
        </top>
        <bottom style="thick">
          <color theme="0"/>
        </bottom>
        <horizontal style="thick">
          <color theme="0"/>
        </horizontal>
      </border>
    </dxf>
    <dxf>
      <fill>
        <patternFill patternType="none">
          <fgColor auto="1"/>
          <bgColor auto="1"/>
        </patternFill>
      </fill>
      <border>
        <top style="thick">
          <color theme="0"/>
        </top>
        <bottom style="thick">
          <color theme="0"/>
        </bottom>
        <horizontal style="thick">
          <color theme="0"/>
        </horizontal>
      </border>
    </dxf>
    <dxf>
      <font>
        <color auto="1"/>
      </font>
      <fill>
        <patternFill>
          <fgColor theme="5" tint="0.39994506668294322"/>
          <bgColor theme="5" tint="0.3999145481734672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5" tint="0.59996337778862885"/>
        </top>
        <bottom style="thick">
          <color theme="5"/>
        </bottom>
        <vertical style="thick">
          <color theme="0"/>
        </vertical>
        <horizontal style="thin">
          <color theme="5" tint="0.59996337778862885"/>
        </horizontal>
      </border>
    </dxf>
    <dxf>
      <font>
        <color theme="0"/>
      </font>
      <fill>
        <patternFill>
          <fgColor theme="5" tint="-0.24994659260841701"/>
          <bgColor theme="5" tint="-0.24994659260841701"/>
        </patternFill>
      </fill>
      <border>
        <top style="thin">
          <color theme="5" tint="0.59996337778862885"/>
        </top>
        <bottom style="thin">
          <color theme="5" tint="0.59996337778862885"/>
        </bottom>
        <horizontal style="thin">
          <color theme="5" tint="0.59996337778862885"/>
        </horizontal>
      </border>
    </dxf>
    <dxf>
      <font>
        <b/>
        <i val="0"/>
        <color auto="1"/>
      </font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 style="thick">
          <color theme="0"/>
        </vertical>
        <horizontal style="thick">
          <color theme="0"/>
        </horizontal>
      </border>
    </dxf>
  </dxfs>
  <tableStyles count="2" defaultPivotStyle="PivotStyleLight16">
    <tableStyle name="Tableau des absences des employés" pivot="0" count="9" xr9:uid="{00000000-0011-0000-FFFF-FFFF00000000}">
      <tableStyleElement type="wholeTable" dxfId="1740"/>
      <tableStyleElement type="headerRow" dxfId="1739"/>
      <tableStyleElement type="totalRow" dxfId="1738"/>
      <tableStyleElement type="firstRowStripe" dxfId="1737"/>
      <tableStyleElement type="secondRowStripe" dxfId="1736"/>
      <tableStyleElement type="firstHeaderCell" dxfId="1735"/>
      <tableStyleElement type="lastHeaderCell" dxfId="1734"/>
      <tableStyleElement type="firstTotalCell" dxfId="1733"/>
      <tableStyleElement type="lastTotalCell" dxfId="1732"/>
    </tableStyle>
    <tableStyle name="Tableau des absences des employés 2" pivot="0" count="13" xr9:uid="{3374F2B5-EC6B-E245-A90B-F84953DFCF99}">
      <tableStyleElement type="wholeTable" dxfId="1731"/>
      <tableStyleElement type="headerRow" dxfId="1730"/>
      <tableStyleElement type="totalRow" dxfId="1729"/>
      <tableStyleElement type="firstColumn" dxfId="1728"/>
      <tableStyleElement type="lastColumn" dxfId="1727"/>
      <tableStyleElement type="firstRowStripe" dxfId="1726"/>
      <tableStyleElement type="secondRowStripe" dxfId="1725"/>
      <tableStyleElement type="firstColumnStripe" dxfId="1724"/>
      <tableStyleElement type="secondColumnStripe" dxfId="1723"/>
      <tableStyleElement type="firstHeaderCell" dxfId="1722"/>
      <tableStyleElement type="lastHeaderCell" dxfId="1721"/>
      <tableStyleElement type="firstTotalCell" dxfId="1720"/>
      <tableStyleElement type="lastTotalCell" dxfId="17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omité 78" id="{0847D65E-16B1-4237-941E-9E24D6278D40}" userId="15b85b476efe1dc1" providerId="Windows Live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Janvier" displayName="Janvier" ref="B8:AH16" totalsRowShown="0" headerRowDxfId="1716" dataDxfId="1715" totalsRowDxfId="1714">
  <autoFilter ref="B8:AH16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00000000-0010-0000-0000-000001000000}" name="Materiel Comité" dataDxfId="1712" totalsRowDxfId="1713" dataCellStyle="Employé"/>
    <tableColumn id="2" xr3:uid="{00000000-0010-0000-0000-000002000000}" name="1" dataDxfId="1710" totalsRowDxfId="1711" dataCellStyle="Total"/>
    <tableColumn id="3" xr3:uid="{00000000-0010-0000-0000-000003000000}" name="2" dataDxfId="1708" totalsRowDxfId="1709" dataCellStyle="Total"/>
    <tableColumn id="4" xr3:uid="{00000000-0010-0000-0000-000004000000}" name="3" dataDxfId="1706" totalsRowDxfId="1707" dataCellStyle="Total"/>
    <tableColumn id="5" xr3:uid="{00000000-0010-0000-0000-000005000000}" name="4" dataDxfId="1704" totalsRowDxfId="1705" dataCellStyle="Total"/>
    <tableColumn id="6" xr3:uid="{00000000-0010-0000-0000-000006000000}" name="5" totalsRowDxfId="1703" dataCellStyle="Total"/>
    <tableColumn id="7" xr3:uid="{00000000-0010-0000-0000-000007000000}" name="6" dataDxfId="1701" totalsRowDxfId="1702" dataCellStyle="Total"/>
    <tableColumn id="8" xr3:uid="{00000000-0010-0000-0000-000008000000}" name="7" dataDxfId="1699" totalsRowDxfId="1700" dataCellStyle="Total"/>
    <tableColumn id="9" xr3:uid="{00000000-0010-0000-0000-000009000000}" name="8" dataDxfId="1697" totalsRowDxfId="1698" dataCellStyle="Total"/>
    <tableColumn id="10" xr3:uid="{00000000-0010-0000-0000-00000A000000}" name="9" dataDxfId="1695" totalsRowDxfId="1696" dataCellStyle="Total"/>
    <tableColumn id="11" xr3:uid="{00000000-0010-0000-0000-00000B000000}" name="10" dataDxfId="1693" totalsRowDxfId="1694" dataCellStyle="Total"/>
    <tableColumn id="12" xr3:uid="{00000000-0010-0000-0000-00000C000000}" name="11" dataDxfId="1691" totalsRowDxfId="1692" dataCellStyle="Total"/>
    <tableColumn id="13" xr3:uid="{00000000-0010-0000-0000-00000D000000}" name="12" dataDxfId="1689" totalsRowDxfId="1690" dataCellStyle="Total"/>
    <tableColumn id="14" xr3:uid="{00000000-0010-0000-0000-00000E000000}" name="13" dataDxfId="1687" totalsRowDxfId="1688" dataCellStyle="Total"/>
    <tableColumn id="15" xr3:uid="{00000000-0010-0000-0000-00000F000000}" name="14" dataDxfId="1685" totalsRowDxfId="1686" dataCellStyle="Total"/>
    <tableColumn id="16" xr3:uid="{00000000-0010-0000-0000-000010000000}" name="15" dataDxfId="1683" totalsRowDxfId="1684" dataCellStyle="Total"/>
    <tableColumn id="17" xr3:uid="{00000000-0010-0000-0000-000011000000}" name="16" dataDxfId="1681" totalsRowDxfId="1682" dataCellStyle="Total"/>
    <tableColumn id="18" xr3:uid="{00000000-0010-0000-0000-000012000000}" name="17" dataDxfId="1679" totalsRowDxfId="1680" dataCellStyle="Total"/>
    <tableColumn id="19" xr3:uid="{00000000-0010-0000-0000-000013000000}" name="18" dataDxfId="1677" totalsRowDxfId="1678" dataCellStyle="Total"/>
    <tableColumn id="20" xr3:uid="{00000000-0010-0000-0000-000014000000}" name="19" dataDxfId="1675" totalsRowDxfId="1676" dataCellStyle="Total"/>
    <tableColumn id="21" xr3:uid="{00000000-0010-0000-0000-000015000000}" name="20" dataDxfId="1673" totalsRowDxfId="1674" dataCellStyle="Total"/>
    <tableColumn id="22" xr3:uid="{00000000-0010-0000-0000-000016000000}" name="21" dataDxfId="1671" totalsRowDxfId="1672" dataCellStyle="Total"/>
    <tableColumn id="23" xr3:uid="{00000000-0010-0000-0000-000017000000}" name="22" dataDxfId="1669" totalsRowDxfId="1670" dataCellStyle="Total"/>
    <tableColumn id="24" xr3:uid="{00000000-0010-0000-0000-000018000000}" name="23" dataDxfId="1667" totalsRowDxfId="1668" dataCellStyle="Total"/>
    <tableColumn id="25" xr3:uid="{00000000-0010-0000-0000-000019000000}" name="24" dataDxfId="1665" totalsRowDxfId="1666" dataCellStyle="Total"/>
    <tableColumn id="26" xr3:uid="{00000000-0010-0000-0000-00001A000000}" name="25" dataDxfId="1663" totalsRowDxfId="1664" dataCellStyle="Total"/>
    <tableColumn id="27" xr3:uid="{00000000-0010-0000-0000-00001B000000}" name="26" dataDxfId="1661" totalsRowDxfId="1662" dataCellStyle="Total"/>
    <tableColumn id="28" xr3:uid="{00000000-0010-0000-0000-00001C000000}" name="27" dataDxfId="1659" totalsRowDxfId="1660" dataCellStyle="Total"/>
    <tableColumn id="29" xr3:uid="{00000000-0010-0000-0000-00001D000000}" name="28" dataDxfId="1657" totalsRowDxfId="1658" dataCellStyle="Total"/>
    <tableColumn id="30" xr3:uid="{00000000-0010-0000-0000-00001E000000}" name="29" dataDxfId="1655" totalsRowDxfId="1656" dataCellStyle="Total"/>
    <tableColumn id="31" xr3:uid="{00000000-0010-0000-0000-00001F000000}" name="30" dataDxfId="1653" totalsRowDxfId="1654" dataCellStyle="Total"/>
    <tableColumn id="32" xr3:uid="{00000000-0010-0000-0000-000020000000}" name="31" dataDxfId="1651" totalsRowDxfId="1652" dataCellStyle="Total"/>
    <tableColumn id="33" xr3:uid="{00000000-0010-0000-0000-000021000000}" name="Nombre de location" dataDxfId="1649" totalsRowDxfId="1650" dataCellStyle="Total">
      <calculatedColumnFormula>COUNTA(Janvier!$C9:$AG9)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09000000}" name="Octobre" displayName="Octobre" ref="B8:AH16" totalsRowShown="0" headerRowDxfId="1076" dataDxfId="1075" totalsRowDxfId="1074">
  <tableColumns count="33">
    <tableColumn id="1" xr3:uid="{00000000-0010-0000-0900-000001000000}" name="Materiel Comité" dataDxfId="1072" totalsRowDxfId="1073" dataCellStyle="Employé"/>
    <tableColumn id="2" xr3:uid="{00000000-0010-0000-0900-000002000000}" name="1" dataDxfId="1070" totalsRowDxfId="1071"/>
    <tableColumn id="3" xr3:uid="{00000000-0010-0000-0900-000003000000}" name="2" dataDxfId="1068" totalsRowDxfId="1069"/>
    <tableColumn id="4" xr3:uid="{00000000-0010-0000-0900-000004000000}" name="3" dataDxfId="1066" totalsRowDxfId="1067"/>
    <tableColumn id="5" xr3:uid="{00000000-0010-0000-0900-000005000000}" name="4" dataDxfId="1064" totalsRowDxfId="1065"/>
    <tableColumn id="6" xr3:uid="{00000000-0010-0000-0900-000006000000}" name="5" dataDxfId="1062" totalsRowDxfId="1063"/>
    <tableColumn id="7" xr3:uid="{00000000-0010-0000-0900-000007000000}" name="6" dataDxfId="1060" totalsRowDxfId="1061"/>
    <tableColumn id="8" xr3:uid="{00000000-0010-0000-0900-000008000000}" name="7" dataDxfId="1058" totalsRowDxfId="1059"/>
    <tableColumn id="9" xr3:uid="{00000000-0010-0000-0900-000009000000}" name="8" dataDxfId="1056" totalsRowDxfId="1057"/>
    <tableColumn id="10" xr3:uid="{00000000-0010-0000-0900-00000A000000}" name="9" dataDxfId="1054" totalsRowDxfId="1055"/>
    <tableColumn id="11" xr3:uid="{00000000-0010-0000-0900-00000B000000}" name="10" dataDxfId="1052" totalsRowDxfId="1053"/>
    <tableColumn id="12" xr3:uid="{00000000-0010-0000-0900-00000C000000}" name="11" dataDxfId="1050" totalsRowDxfId="1051"/>
    <tableColumn id="13" xr3:uid="{00000000-0010-0000-0900-00000D000000}" name="12" dataDxfId="1048" totalsRowDxfId="1049"/>
    <tableColumn id="14" xr3:uid="{00000000-0010-0000-0900-00000E000000}" name="13" dataDxfId="1046" totalsRowDxfId="1047"/>
    <tableColumn id="15" xr3:uid="{00000000-0010-0000-0900-00000F000000}" name="14" dataDxfId="1044" totalsRowDxfId="1045"/>
    <tableColumn id="16" xr3:uid="{00000000-0010-0000-0900-000010000000}" name="15" dataDxfId="1042" totalsRowDxfId="1043"/>
    <tableColumn id="17" xr3:uid="{00000000-0010-0000-0900-000011000000}" name="16" dataDxfId="1040" totalsRowDxfId="1041"/>
    <tableColumn id="18" xr3:uid="{00000000-0010-0000-0900-000012000000}" name="17" dataDxfId="1038" totalsRowDxfId="1039"/>
    <tableColumn id="19" xr3:uid="{00000000-0010-0000-0900-000013000000}" name="18" dataDxfId="1036" totalsRowDxfId="1037"/>
    <tableColumn id="20" xr3:uid="{00000000-0010-0000-0900-000014000000}" name="19" dataDxfId="1034" totalsRowDxfId="1035"/>
    <tableColumn id="21" xr3:uid="{00000000-0010-0000-0900-000015000000}" name="20" dataDxfId="1032" totalsRowDxfId="1033"/>
    <tableColumn id="22" xr3:uid="{00000000-0010-0000-0900-000016000000}" name="21" dataDxfId="1030" totalsRowDxfId="1031"/>
    <tableColumn id="23" xr3:uid="{00000000-0010-0000-0900-000017000000}" name="22" dataDxfId="1028" totalsRowDxfId="1029"/>
    <tableColumn id="24" xr3:uid="{00000000-0010-0000-0900-000018000000}" name="23" dataDxfId="1026" totalsRowDxfId="1027"/>
    <tableColumn id="25" xr3:uid="{00000000-0010-0000-0900-000019000000}" name="24" dataDxfId="1024" totalsRowDxfId="1025"/>
    <tableColumn id="26" xr3:uid="{00000000-0010-0000-0900-00001A000000}" name="25" dataDxfId="1022" totalsRowDxfId="1023"/>
    <tableColumn id="27" xr3:uid="{00000000-0010-0000-0900-00001B000000}" name="26" dataDxfId="1020" totalsRowDxfId="1021"/>
    <tableColumn id="28" xr3:uid="{00000000-0010-0000-0900-00001C000000}" name="27" dataDxfId="1018" totalsRowDxfId="1019"/>
    <tableColumn id="29" xr3:uid="{00000000-0010-0000-0900-00001D000000}" name="28" dataDxfId="1016" totalsRowDxfId="1017"/>
    <tableColumn id="30" xr3:uid="{00000000-0010-0000-0900-00001E000000}" name="29" dataDxfId="1014" totalsRowDxfId="1015"/>
    <tableColumn id="31" xr3:uid="{00000000-0010-0000-0900-00001F000000}" name="30" dataDxfId="1012" totalsRowDxfId="1013"/>
    <tableColumn id="32" xr3:uid="{00000000-0010-0000-0900-000020000000}" name="31" dataDxfId="1010" totalsRowDxfId="1011" dataCellStyle="Total"/>
    <tableColumn id="33" xr3:uid="{00000000-0010-0000-0900-000021000000}" name="Nombre de location" dataDxfId="1008" totalsRowDxfId="1009" dataCellStyle="Total">
      <calculatedColumnFormula>COUNTA(Octobre[[#This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A000000}" name="Novembre" displayName="Novembre" ref="B8:AH16" totalsRowShown="0" headerRowDxfId="1005" dataDxfId="1004" totalsRowDxfId="1003">
  <tableColumns count="33">
    <tableColumn id="1" xr3:uid="{00000000-0010-0000-0A00-000001000000}" name="Materiel Comité" dataDxfId="1001" totalsRowDxfId="1002" dataCellStyle="Employé"/>
    <tableColumn id="2" xr3:uid="{00000000-0010-0000-0A00-000002000000}" name="1" dataDxfId="999" totalsRowDxfId="1000"/>
    <tableColumn id="3" xr3:uid="{00000000-0010-0000-0A00-000003000000}" name="2" dataDxfId="997" totalsRowDxfId="998"/>
    <tableColumn id="4" xr3:uid="{00000000-0010-0000-0A00-000004000000}" name="3" dataDxfId="995" totalsRowDxfId="996"/>
    <tableColumn id="5" xr3:uid="{00000000-0010-0000-0A00-000005000000}" name="4" dataDxfId="993" totalsRowDxfId="994"/>
    <tableColumn id="6" xr3:uid="{00000000-0010-0000-0A00-000006000000}" name="5" dataDxfId="991" totalsRowDxfId="992"/>
    <tableColumn id="7" xr3:uid="{00000000-0010-0000-0A00-000007000000}" name="6" dataDxfId="989" totalsRowDxfId="990"/>
    <tableColumn id="8" xr3:uid="{00000000-0010-0000-0A00-000008000000}" name="7" dataDxfId="987" totalsRowDxfId="988"/>
    <tableColumn id="9" xr3:uid="{00000000-0010-0000-0A00-000009000000}" name="8" dataDxfId="985" totalsRowDxfId="986"/>
    <tableColumn id="10" xr3:uid="{00000000-0010-0000-0A00-00000A000000}" name="9" dataDxfId="983" totalsRowDxfId="984"/>
    <tableColumn id="11" xr3:uid="{00000000-0010-0000-0A00-00000B000000}" name="10" dataDxfId="981" totalsRowDxfId="982"/>
    <tableColumn id="12" xr3:uid="{00000000-0010-0000-0A00-00000C000000}" name="11" dataDxfId="979" totalsRowDxfId="980"/>
    <tableColumn id="13" xr3:uid="{00000000-0010-0000-0A00-00000D000000}" name="12" dataDxfId="977" totalsRowDxfId="978"/>
    <tableColumn id="14" xr3:uid="{00000000-0010-0000-0A00-00000E000000}" name="13" dataDxfId="975" totalsRowDxfId="976"/>
    <tableColumn id="15" xr3:uid="{00000000-0010-0000-0A00-00000F000000}" name="14" dataDxfId="973" totalsRowDxfId="974"/>
    <tableColumn id="16" xr3:uid="{00000000-0010-0000-0A00-000010000000}" name="15" dataDxfId="971" totalsRowDxfId="972"/>
    <tableColumn id="17" xr3:uid="{00000000-0010-0000-0A00-000011000000}" name="16" dataDxfId="969" totalsRowDxfId="970"/>
    <tableColumn id="18" xr3:uid="{00000000-0010-0000-0A00-000012000000}" name="17" dataDxfId="967" totalsRowDxfId="968"/>
    <tableColumn id="19" xr3:uid="{00000000-0010-0000-0A00-000013000000}" name="18" dataDxfId="965" totalsRowDxfId="966"/>
    <tableColumn id="20" xr3:uid="{00000000-0010-0000-0A00-000014000000}" name="19" dataDxfId="963" totalsRowDxfId="964"/>
    <tableColumn id="21" xr3:uid="{00000000-0010-0000-0A00-000015000000}" name="20" dataDxfId="961" totalsRowDxfId="962"/>
    <tableColumn id="22" xr3:uid="{00000000-0010-0000-0A00-000016000000}" name="21" dataDxfId="959" totalsRowDxfId="960"/>
    <tableColumn id="23" xr3:uid="{00000000-0010-0000-0A00-000017000000}" name="22" dataDxfId="957" totalsRowDxfId="958"/>
    <tableColumn id="24" xr3:uid="{00000000-0010-0000-0A00-000018000000}" name="23" dataDxfId="955" totalsRowDxfId="956"/>
    <tableColumn id="25" xr3:uid="{00000000-0010-0000-0A00-000019000000}" name="24" dataDxfId="953" totalsRowDxfId="954"/>
    <tableColumn id="26" xr3:uid="{00000000-0010-0000-0A00-00001A000000}" name="25" dataDxfId="951" totalsRowDxfId="952"/>
    <tableColumn id="27" xr3:uid="{00000000-0010-0000-0A00-00001B000000}" name="26" dataDxfId="949" totalsRowDxfId="950"/>
    <tableColumn id="28" xr3:uid="{00000000-0010-0000-0A00-00001C000000}" name="27" dataDxfId="947" totalsRowDxfId="948"/>
    <tableColumn id="29" xr3:uid="{00000000-0010-0000-0A00-00001D000000}" name="28" dataDxfId="945" totalsRowDxfId="946"/>
    <tableColumn id="30" xr3:uid="{00000000-0010-0000-0A00-00001E000000}" name="29" dataDxfId="943" totalsRowDxfId="944"/>
    <tableColumn id="31" xr3:uid="{00000000-0010-0000-0A00-00001F000000}" name="30" dataDxfId="941" totalsRowDxfId="942"/>
    <tableColumn id="32" xr3:uid="{00000000-0010-0000-0A00-000020000000}" name=" " dataDxfId="939" totalsRowDxfId="940" dataCellStyle="Total"/>
    <tableColumn id="33" xr3:uid="{00000000-0010-0000-0A00-000021000000}" name="Nombre de location" dataDxfId="937" totalsRowDxfId="938" dataCellStyle="Total">
      <calculatedColumnFormula>COUNTA(Novembre[[#This Row],[1]:[ 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Décembre" displayName="Décembre" ref="B8:AH16" totalsRowShown="0" headerRowDxfId="922" dataDxfId="921" totalsRowDxfId="920">
  <tableColumns count="33">
    <tableColumn id="1" xr3:uid="{00000000-0010-0000-0B00-000001000000}" name="Materiel Comité" dataDxfId="918" totalsRowDxfId="919" dataCellStyle="Employé"/>
    <tableColumn id="2" xr3:uid="{00000000-0010-0000-0B00-000002000000}" name="1" dataDxfId="916" totalsRowDxfId="917"/>
    <tableColumn id="3" xr3:uid="{00000000-0010-0000-0B00-000003000000}" name="2" dataDxfId="914" totalsRowDxfId="915"/>
    <tableColumn id="4" xr3:uid="{00000000-0010-0000-0B00-000004000000}" name="3" dataDxfId="912" totalsRowDxfId="913"/>
    <tableColumn id="5" xr3:uid="{00000000-0010-0000-0B00-000005000000}" name="4" dataDxfId="910" totalsRowDxfId="911"/>
    <tableColumn id="6" xr3:uid="{00000000-0010-0000-0B00-000006000000}" name="5" dataDxfId="908" totalsRowDxfId="909"/>
    <tableColumn id="7" xr3:uid="{00000000-0010-0000-0B00-000007000000}" name="6" dataDxfId="906" totalsRowDxfId="907"/>
    <tableColumn id="8" xr3:uid="{00000000-0010-0000-0B00-000008000000}" name="7" dataDxfId="904" totalsRowDxfId="905"/>
    <tableColumn id="9" xr3:uid="{00000000-0010-0000-0B00-000009000000}" name="8" dataDxfId="902" totalsRowDxfId="903"/>
    <tableColumn id="10" xr3:uid="{00000000-0010-0000-0B00-00000A000000}" name="9" dataDxfId="900" totalsRowDxfId="901"/>
    <tableColumn id="11" xr3:uid="{00000000-0010-0000-0B00-00000B000000}" name="10" dataDxfId="898" totalsRowDxfId="899"/>
    <tableColumn id="12" xr3:uid="{00000000-0010-0000-0B00-00000C000000}" name="11" dataDxfId="896" totalsRowDxfId="897"/>
    <tableColumn id="13" xr3:uid="{00000000-0010-0000-0B00-00000D000000}" name="12" dataDxfId="894" totalsRowDxfId="895"/>
    <tableColumn id="14" xr3:uid="{00000000-0010-0000-0B00-00000E000000}" name="13" dataDxfId="892" totalsRowDxfId="893"/>
    <tableColumn id="15" xr3:uid="{00000000-0010-0000-0B00-00000F000000}" name="14" dataDxfId="890" totalsRowDxfId="891"/>
    <tableColumn id="16" xr3:uid="{00000000-0010-0000-0B00-000010000000}" name="15" dataDxfId="888" totalsRowDxfId="889"/>
    <tableColumn id="17" xr3:uid="{00000000-0010-0000-0B00-000011000000}" name="16" dataDxfId="886" totalsRowDxfId="887"/>
    <tableColumn id="18" xr3:uid="{00000000-0010-0000-0B00-000012000000}" name="17" dataDxfId="884" totalsRowDxfId="885"/>
    <tableColumn id="19" xr3:uid="{00000000-0010-0000-0B00-000013000000}" name="18" dataDxfId="882" totalsRowDxfId="883"/>
    <tableColumn id="20" xr3:uid="{00000000-0010-0000-0B00-000014000000}" name="19" dataDxfId="880" totalsRowDxfId="881"/>
    <tableColumn id="21" xr3:uid="{00000000-0010-0000-0B00-000015000000}" name="20" dataDxfId="878" totalsRowDxfId="879"/>
    <tableColumn id="22" xr3:uid="{00000000-0010-0000-0B00-000016000000}" name="21" dataDxfId="876" totalsRowDxfId="877"/>
    <tableColumn id="23" xr3:uid="{00000000-0010-0000-0B00-000017000000}" name="22" dataDxfId="874" totalsRowDxfId="875"/>
    <tableColumn id="24" xr3:uid="{00000000-0010-0000-0B00-000018000000}" name="23" dataDxfId="872" totalsRowDxfId="873"/>
    <tableColumn id="25" xr3:uid="{00000000-0010-0000-0B00-000019000000}" name="24" dataDxfId="870" totalsRowDxfId="871"/>
    <tableColumn id="26" xr3:uid="{00000000-0010-0000-0B00-00001A000000}" name="25" dataDxfId="868" totalsRowDxfId="869"/>
    <tableColumn id="27" xr3:uid="{00000000-0010-0000-0B00-00001B000000}" name="26" dataDxfId="866" totalsRowDxfId="867"/>
    <tableColumn id="28" xr3:uid="{00000000-0010-0000-0B00-00001C000000}" name="27" dataDxfId="864" totalsRowDxfId="865"/>
    <tableColumn id="29" xr3:uid="{00000000-0010-0000-0B00-00001D000000}" name="28" dataDxfId="862" totalsRowDxfId="863"/>
    <tableColumn id="30" xr3:uid="{00000000-0010-0000-0B00-00001E000000}" name="29" dataDxfId="860" totalsRowDxfId="861"/>
    <tableColumn id="31" xr3:uid="{00000000-0010-0000-0B00-00001F000000}" name="30" dataDxfId="858" totalsRowDxfId="859"/>
    <tableColumn id="32" xr3:uid="{00000000-0010-0000-0B00-000020000000}" name="31" dataDxfId="856" totalsRowDxfId="857" dataCellStyle="Total"/>
    <tableColumn id="33" xr3:uid="{00000000-0010-0000-0B00-000021000000}" name="Nombre de location" dataDxfId="854" totalsRowDxfId="855" dataCellStyle="Total">
      <calculatedColumnFormula>COUNTA(Décembre[[#This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Fournit une liste de noms et des dates de calendrier pour enregistrer les absences et motifs d’absence des employés (C= Congé, M=Maladie, P=Personnel, et deux espaces réservés pour des entrées personnalisées)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EE9F2C8-10A3-4BE3-8641-7F5A5867C41F}" name="Novembre26" displayName="Novembre26" ref="B8:AH16" totalsRowShown="0" headerRowDxfId="849" dataDxfId="848" totalsRowDxfId="847">
  <tableColumns count="33">
    <tableColumn id="1" xr3:uid="{20179B0D-70AC-4ADC-95E7-D61C809D5B41}" name="Materiel Comité" dataDxfId="845" totalsRowDxfId="846" dataCellStyle="Employé"/>
    <tableColumn id="2" xr3:uid="{F284F1C2-4586-4945-9BCC-9DEFFC3D2184}" name="1" dataDxfId="843" totalsRowDxfId="844"/>
    <tableColumn id="3" xr3:uid="{CD5B07FB-BFBF-43A3-BD28-55F0D879136A}" name="2" dataDxfId="841" totalsRowDxfId="842"/>
    <tableColumn id="4" xr3:uid="{220E67A3-320B-43FE-A6A3-441A7AE24A23}" name="3" dataDxfId="839" totalsRowDxfId="840"/>
    <tableColumn id="5" xr3:uid="{C7BB5AA7-5943-4D22-84D4-C42D6485D5E9}" name="4" dataDxfId="837" totalsRowDxfId="838"/>
    <tableColumn id="6" xr3:uid="{5BF153C6-8805-4C89-9EBB-70662BE36472}" name="5" dataDxfId="835" totalsRowDxfId="836"/>
    <tableColumn id="7" xr3:uid="{4E88F227-FED0-47BA-988C-7CC7D527D915}" name="6" dataDxfId="833" totalsRowDxfId="834"/>
    <tableColumn id="8" xr3:uid="{28F55E0D-CE59-45A2-AFBB-90350693DDFF}" name="7" dataDxfId="831" totalsRowDxfId="832"/>
    <tableColumn id="9" xr3:uid="{C83FCAB0-6613-4024-BC17-38312B6B7DBC}" name="8" dataDxfId="829" totalsRowDxfId="830"/>
    <tableColumn id="10" xr3:uid="{6241E12F-E901-468C-BDC5-287D9A37BDF0}" name="9" dataDxfId="827" totalsRowDxfId="828"/>
    <tableColumn id="11" xr3:uid="{71A03651-8F14-4039-AA06-F4C31CF4C518}" name="10" dataDxfId="825" totalsRowDxfId="826"/>
    <tableColumn id="12" xr3:uid="{26FEEFE9-86B5-471C-B1A0-9F280D3E8ACF}" name="11" dataDxfId="823" totalsRowDxfId="824"/>
    <tableColumn id="13" xr3:uid="{C45077A4-B24A-4178-B9FF-C0FDD1888576}" name="12" dataDxfId="821" totalsRowDxfId="822"/>
    <tableColumn id="14" xr3:uid="{C5CA8EFC-23D3-4FE2-910C-15EA0D8BB57D}" name="13" dataDxfId="819" totalsRowDxfId="820"/>
    <tableColumn id="15" xr3:uid="{13298290-B20A-4865-A23D-4ADE3C2F036A}" name="14" dataDxfId="817" totalsRowDxfId="818"/>
    <tableColumn id="16" xr3:uid="{C9AEFCF4-891F-434B-8D29-ACA07472D855}" name="15" dataDxfId="815" totalsRowDxfId="816"/>
    <tableColumn id="17" xr3:uid="{15B2DB40-0736-4FF6-A012-7F49A184F70A}" name="16" dataDxfId="813" totalsRowDxfId="814"/>
    <tableColumn id="18" xr3:uid="{9853E962-06EA-487F-839B-988999FB64C4}" name="17" dataDxfId="811" totalsRowDxfId="812"/>
    <tableColumn id="19" xr3:uid="{CD6A6286-ECA6-416E-AF3E-9397F4ECEAB2}" name="18" dataDxfId="809" totalsRowDxfId="810"/>
    <tableColumn id="20" xr3:uid="{83B0B2E7-0147-4031-93B7-39212E14BC75}" name="19" dataDxfId="807" totalsRowDxfId="808"/>
    <tableColumn id="21" xr3:uid="{7929A6BC-C9D0-44F9-9979-F27E126F3978}" name="20" dataDxfId="805" totalsRowDxfId="806"/>
    <tableColumn id="22" xr3:uid="{7EB56A46-4093-4C3C-9949-2C0F3694132F}" name="21" dataDxfId="803" totalsRowDxfId="804"/>
    <tableColumn id="23" xr3:uid="{E253F68B-E9FC-4D73-B0B9-EF4D42D51FE6}" name="22" dataDxfId="801" totalsRowDxfId="802"/>
    <tableColumn id="24" xr3:uid="{8C5FD4AE-B51F-4416-A704-9B9C95463EBD}" name="23" dataDxfId="799" totalsRowDxfId="800"/>
    <tableColumn id="25" xr3:uid="{3088518A-9D39-436F-8CCD-AFB196AAD222}" name="24" dataDxfId="797" totalsRowDxfId="798"/>
    <tableColumn id="26" xr3:uid="{1CA04E82-A9A9-4632-B267-11E6A08A4B09}" name="25" dataDxfId="795" totalsRowDxfId="796"/>
    <tableColumn id="27" xr3:uid="{AEE0849F-6212-4E76-8EDB-D5E5707900AD}" name="26" dataDxfId="793" totalsRowDxfId="794"/>
    <tableColumn id="28" xr3:uid="{0FA8EA4D-BB60-4A39-87D2-6B5808281F4C}" name="27" dataDxfId="791" totalsRowDxfId="792"/>
    <tableColumn id="29" xr3:uid="{2DB49C71-13C9-40B8-A649-B6B01DFA8AA1}" name="28" dataDxfId="789" totalsRowDxfId="790"/>
    <tableColumn id="30" xr3:uid="{FF21A152-C22E-4344-80F4-BD276B3B1E26}" name="29" dataDxfId="787" totalsRowDxfId="788"/>
    <tableColumn id="31" xr3:uid="{86CC4AAA-80D4-410D-B795-0B1817D066D6}" name="30" dataDxfId="785" totalsRowDxfId="786"/>
    <tableColumn id="32" xr3:uid="{1BA0D368-AC58-4D29-AA13-C59A2D47822B}" name="31" dataDxfId="783" totalsRowDxfId="784" dataCellStyle="Total"/>
    <tableColumn id="33" xr3:uid="{81F912BB-D785-430F-B264-1E069E72803A}" name="Nombre de location" dataDxfId="781" totalsRowDxfId="782" dataCellStyle="Total">
      <calculatedColumnFormula>COUNTA(Novembre26[[#This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3794CCF-D49D-43DA-86DB-4CA8D901596E}" name="Novembre279" displayName="Novembre279" ref="B8:AE16" totalsRowShown="0" headerRowDxfId="772" dataDxfId="771" totalsRowDxfId="770">
  <tableColumns count="30">
    <tableColumn id="1" xr3:uid="{9031F21D-C191-4652-A840-6734C8A22DDC}" name="Materiel Comité" dataDxfId="768" totalsRowDxfId="769" dataCellStyle="Employé"/>
    <tableColumn id="2" xr3:uid="{ED96E899-9C06-4F35-B8AD-4958B6E95AFD}" name="1" dataDxfId="766" totalsRowDxfId="767"/>
    <tableColumn id="3" xr3:uid="{97B22820-905D-41E6-A0CB-F3C70936CBEA}" name="2" dataDxfId="764" totalsRowDxfId="765"/>
    <tableColumn id="4" xr3:uid="{605AE344-7FCE-4FD5-AFFA-B440BAC20D73}" name="3" dataDxfId="762" totalsRowDxfId="763"/>
    <tableColumn id="5" xr3:uid="{7C68AD14-5A3F-47D7-B224-349634B4D764}" name="4" dataDxfId="760" totalsRowDxfId="761"/>
    <tableColumn id="6" xr3:uid="{9905FF85-A330-43F8-964D-3B73F22D3C9D}" name="5" dataDxfId="758" totalsRowDxfId="759"/>
    <tableColumn id="7" xr3:uid="{021AD6DF-5EEA-448E-BDCC-2B4B36E5ADEE}" name="6" dataDxfId="756" totalsRowDxfId="757"/>
    <tableColumn id="8" xr3:uid="{E51813CF-4871-45C0-8424-2FBADB6DCD47}" name="7" dataDxfId="754" totalsRowDxfId="755"/>
    <tableColumn id="9" xr3:uid="{082105F2-4B24-468C-8C5C-D599D1B82E66}" name="8" dataDxfId="752" totalsRowDxfId="753"/>
    <tableColumn id="10" xr3:uid="{2BECAED8-7228-4BFB-8240-9D209BFBAD98}" name="9" dataDxfId="750" totalsRowDxfId="751"/>
    <tableColumn id="11" xr3:uid="{662EDF82-419A-4788-B86F-723E9C4470F8}" name="10" dataDxfId="748" totalsRowDxfId="749"/>
    <tableColumn id="12" xr3:uid="{8FF0E239-8E9F-4263-A8A2-7371E4063CF7}" name="11" dataDxfId="746" totalsRowDxfId="747"/>
    <tableColumn id="13" xr3:uid="{8D858AA0-90C7-4C3F-BF25-45D6F30AA62A}" name="12" dataDxfId="744" totalsRowDxfId="745"/>
    <tableColumn id="14" xr3:uid="{37970908-5EFB-4B80-A267-F30E5A65D221}" name="13" dataDxfId="742" totalsRowDxfId="743"/>
    <tableColumn id="15" xr3:uid="{DD5E7C77-D2E1-485C-891B-93C88FB1A74A}" name="14" dataDxfId="740" totalsRowDxfId="741"/>
    <tableColumn id="16" xr3:uid="{F59A84DA-EC3E-4918-82DD-D2880499DA4E}" name="15" dataDxfId="738" totalsRowDxfId="739"/>
    <tableColumn id="17" xr3:uid="{0EFAD067-614F-44CF-9C28-DD6DB98BC08D}" name="16" dataDxfId="736" totalsRowDxfId="737"/>
    <tableColumn id="18" xr3:uid="{98E9A59B-8140-45D6-BE4F-06392404CAA2}" name="17" dataDxfId="734" totalsRowDxfId="735"/>
    <tableColumn id="19" xr3:uid="{926F1635-04CC-40E9-A78F-5CED95B5672E}" name="18" dataDxfId="732" totalsRowDxfId="733"/>
    <tableColumn id="20" xr3:uid="{CF49A70B-DF6B-44E0-AD93-565EC85E4F3C}" name="19" dataDxfId="730" totalsRowDxfId="731"/>
    <tableColumn id="21" xr3:uid="{EC68DA6A-0D99-4247-858B-D5120474A027}" name="20" dataDxfId="728" totalsRowDxfId="729"/>
    <tableColumn id="22" xr3:uid="{9FC8B865-D8CC-4229-AEDF-733DAFDFE8AE}" name="21" dataDxfId="726" totalsRowDxfId="727"/>
    <tableColumn id="23" xr3:uid="{767BBB83-D1CB-45E9-85DD-8BC168D4BF5C}" name="22" dataDxfId="724" totalsRowDxfId="725"/>
    <tableColumn id="24" xr3:uid="{2573BA29-B77F-4B3D-9231-7A437C6BC75A}" name="23" dataDxfId="722" totalsRowDxfId="723"/>
    <tableColumn id="25" xr3:uid="{4B8D9C03-A7EA-4C50-BC21-C85C7BA5CF82}" name="24" dataDxfId="720" totalsRowDxfId="721"/>
    <tableColumn id="26" xr3:uid="{84A9D8CD-2A42-4B70-B9F0-F714F5452CDE}" name="25" dataDxfId="718" totalsRowDxfId="719"/>
    <tableColumn id="27" xr3:uid="{A88B3631-B494-495D-B1A1-5DE8A9FC707C}" name="26" dataDxfId="716" totalsRowDxfId="717"/>
    <tableColumn id="28" xr3:uid="{1F45FEE8-8BCF-45F4-9876-A240E063281A}" name="27" dataDxfId="714" totalsRowDxfId="715"/>
    <tableColumn id="29" xr3:uid="{D8E513C0-9B5D-49C7-8357-61A5B5D98DB8}" name="28" dataDxfId="712" totalsRowDxfId="713"/>
    <tableColumn id="33" xr3:uid="{E3C954DE-7DFB-454F-9611-5C6A8A915005}" name="Nombre de location" dataDxfId="710" totalsRowDxfId="711" dataCellStyle="Total">
      <calculatedColumnFormula>COUNTA(#REF!)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2C91E8BC-64C2-4675-9F21-6F2D37E610A2}" name="Novembre271011" displayName="Novembre271011" ref="B8:AH16" totalsRowShown="0" headerRowDxfId="707" dataDxfId="706" totalsRowDxfId="705">
  <tableColumns count="33">
    <tableColumn id="1" xr3:uid="{2ECC59CC-043D-4285-B653-D78B8E18BAE9}" name="Materiel Comité" dataDxfId="703" totalsRowDxfId="704" dataCellStyle="Employé"/>
    <tableColumn id="2" xr3:uid="{7B9DB7B7-45EF-4C97-8F39-AB3EF2A53369}" name="1" dataDxfId="701" totalsRowDxfId="702"/>
    <tableColumn id="3" xr3:uid="{C19570A7-2C6D-4D91-8DC4-EA5C646E40DF}" name="2" dataDxfId="699" totalsRowDxfId="700"/>
    <tableColumn id="4" xr3:uid="{14C8E249-4C2E-4C8A-AEB6-9C7545C6F923}" name="3" dataDxfId="697" totalsRowDxfId="698"/>
    <tableColumn id="5" xr3:uid="{E81504E4-0B84-4926-B187-1A72ED83A94E}" name="4" dataDxfId="695" totalsRowDxfId="696"/>
    <tableColumn id="6" xr3:uid="{CF13A8BF-5A8F-4566-A3D5-5329B46B0D5A}" name="5" dataDxfId="693" totalsRowDxfId="694"/>
    <tableColumn id="7" xr3:uid="{594E6C8A-F203-4055-AC8D-C03A6A0F3D0E}" name="6" dataDxfId="691" totalsRowDxfId="692"/>
    <tableColumn id="8" xr3:uid="{AB60FE41-B3DE-4F0F-9A55-979712951BEA}" name="7" dataDxfId="689" totalsRowDxfId="690"/>
    <tableColumn id="9" xr3:uid="{8C4758DF-D588-4CC9-9734-B50E46934432}" name="8" dataDxfId="687" totalsRowDxfId="688"/>
    <tableColumn id="10" xr3:uid="{0E6F528B-F575-4692-B6D2-DB86AC44C836}" name="9" dataDxfId="685" totalsRowDxfId="686"/>
    <tableColumn id="11" xr3:uid="{E3393738-6026-4345-8BC7-978289BF49C9}" name="10" dataDxfId="683" totalsRowDxfId="684"/>
    <tableColumn id="12" xr3:uid="{D40FB21D-CBEF-4D69-B906-7E690F9F7299}" name="11" dataDxfId="681" totalsRowDxfId="682"/>
    <tableColumn id="13" xr3:uid="{60A5AE31-D1F0-44CC-9BCC-52EE6039CF3C}" name="12" dataDxfId="679" totalsRowDxfId="680"/>
    <tableColumn id="14" xr3:uid="{D5CC3883-8920-4041-86EE-E82F35BD4FDD}" name="13" dataDxfId="677" totalsRowDxfId="678"/>
    <tableColumn id="15" xr3:uid="{6FA8369C-E401-4BAF-913E-32B3E97790B9}" name="14" dataDxfId="675" totalsRowDxfId="676"/>
    <tableColumn id="16" xr3:uid="{21A6DAE7-DDB3-4D5E-8405-445FBC786034}" name="15" dataDxfId="673" totalsRowDxfId="674"/>
    <tableColumn id="17" xr3:uid="{AB439654-EB05-4039-B565-2AEE12F6B78E}" name="16" dataDxfId="671" totalsRowDxfId="672"/>
    <tableColumn id="18" xr3:uid="{041263BF-B4B6-4EB6-925A-D75BB570B17A}" name="17" dataDxfId="669" totalsRowDxfId="670"/>
    <tableColumn id="19" xr3:uid="{D721CADF-9625-49C2-9AB9-3D55BE009C32}" name="18" dataDxfId="667" totalsRowDxfId="668"/>
    <tableColumn id="20" xr3:uid="{C5473D25-F070-438A-8161-C7EFAA028BAE}" name="19" dataDxfId="665" totalsRowDxfId="666"/>
    <tableColumn id="21" xr3:uid="{D4F8086B-16B4-4251-BA21-FFCCD85CD73A}" name="20" dataDxfId="663" totalsRowDxfId="664"/>
    <tableColumn id="22" xr3:uid="{28FB3659-9E66-4D11-A710-D739F1E50145}" name="21" dataDxfId="661" totalsRowDxfId="662"/>
    <tableColumn id="23" xr3:uid="{17FCC218-8461-4033-B704-CC860335A788}" name="22" dataDxfId="659" totalsRowDxfId="660"/>
    <tableColumn id="24" xr3:uid="{FFE54375-17A0-4483-AF02-854D5093B120}" name="23" dataDxfId="657" totalsRowDxfId="658"/>
    <tableColumn id="25" xr3:uid="{AAD1E57B-D388-4FED-BE7F-B611B15BB529}" name="24" dataDxfId="655" totalsRowDxfId="656"/>
    <tableColumn id="26" xr3:uid="{4B1701FC-FD50-4C5D-9657-659594D88C98}" name="25" dataDxfId="653" totalsRowDxfId="654"/>
    <tableColumn id="27" xr3:uid="{590624DE-C0FD-4D29-A2A9-F33C9EA5FAA3}" name="26" dataDxfId="651" totalsRowDxfId="652"/>
    <tableColumn id="28" xr3:uid="{8678F438-7789-4B9A-9032-36E9534E2A0D}" name="27" dataDxfId="649" totalsRowDxfId="650"/>
    <tableColumn id="29" xr3:uid="{CF0E8432-1BAE-4CD6-94D6-5700E7D6DB9A}" name="28" dataDxfId="647" totalsRowDxfId="648"/>
    <tableColumn id="30" xr3:uid="{A4C0E3AF-22A8-4F10-9A32-D861CD1E5D60}" name="29" dataDxfId="645" totalsRowDxfId="646"/>
    <tableColumn id="31" xr3:uid="{638BAFE6-0AE8-41AA-AB1F-BD2979264991}" name="30" dataDxfId="643" totalsRowDxfId="644"/>
    <tableColumn id="32" xr3:uid="{C2E9A307-6678-4EAB-B878-AF9D09D1E463}" name="31" dataDxfId="641" totalsRowDxfId="642" dataCellStyle="Total"/>
    <tableColumn id="33" xr3:uid="{778F8144-4B44-4287-9D44-8025FBC858B8}" name="Nombre de location" dataDxfId="639" totalsRowDxfId="640" dataCellStyle="Total">
      <calculatedColumnFormula>COUNTA(Novembre271011[[#This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8068C81-0F85-4A1B-BD69-2087BAF02963}" name="Novembre2710" displayName="Novembre2710" ref="B8:AH16" totalsRowShown="0" headerRowDxfId="636" dataDxfId="635" totalsRowDxfId="634">
  <tableColumns count="33">
    <tableColumn id="1" xr3:uid="{3E54462B-1BC1-4FAD-9E99-BB78D9ECB2F1}" name="Materiel Comité" dataDxfId="632" totalsRowDxfId="633" dataCellStyle="Employé"/>
    <tableColumn id="2" xr3:uid="{97F4AADB-2AF9-4FA5-8F83-2D1F97FFF318}" name="1" dataDxfId="630" totalsRowDxfId="631"/>
    <tableColumn id="3" xr3:uid="{8B9233AC-E61B-4F6B-9A5A-8C87DA8C9AF2}" name="2" dataDxfId="628" totalsRowDxfId="629"/>
    <tableColumn id="4" xr3:uid="{BD8E5F05-754E-4A14-910E-13FE8FB7C924}" name="3" dataDxfId="626" totalsRowDxfId="627"/>
    <tableColumn id="5" xr3:uid="{1FAA24FE-7EBD-4DB2-8722-F22DBE73A4C6}" name="4" dataDxfId="624" totalsRowDxfId="625"/>
    <tableColumn id="6" xr3:uid="{3FA9D4CB-9F9A-401A-B388-F14511DC60CA}" name="5" dataDxfId="622" totalsRowDxfId="623"/>
    <tableColumn id="7" xr3:uid="{DB6B0AFB-22BE-4A22-BEE5-3D46AC5436F4}" name="6" dataDxfId="620" totalsRowDxfId="621"/>
    <tableColumn id="8" xr3:uid="{3A6026E6-96F6-4501-B26F-F053BDC37AAB}" name="7" dataDxfId="618" totalsRowDxfId="619"/>
    <tableColumn id="9" xr3:uid="{9F23CC05-3E4F-4D88-9A33-6C869274E78B}" name="8" dataDxfId="616" totalsRowDxfId="617"/>
    <tableColumn id="10" xr3:uid="{9E1198C7-F91A-47CF-8896-E84F0F0CF070}" name="9" dataDxfId="614" totalsRowDxfId="615"/>
    <tableColumn id="11" xr3:uid="{A8DBA491-8472-465D-9EAE-D28E5619B8F8}" name="10" dataDxfId="612" totalsRowDxfId="613"/>
    <tableColumn id="12" xr3:uid="{04DD2D0F-8DD0-4BBF-8DAE-9D401BBF7150}" name="11" dataDxfId="610" totalsRowDxfId="611"/>
    <tableColumn id="13" xr3:uid="{0EDF1C1C-F914-4738-A705-A293B74EC1FF}" name="12" dataDxfId="608" totalsRowDxfId="609"/>
    <tableColumn id="14" xr3:uid="{9913A4AA-FD04-4D27-B7C4-8A3004CB3DB6}" name="13" dataDxfId="606" totalsRowDxfId="607"/>
    <tableColumn id="15" xr3:uid="{D4D76B5E-AE71-49FC-86B8-3814148D6D86}" name="14" dataDxfId="604" totalsRowDxfId="605"/>
    <tableColumn id="16" xr3:uid="{0C145AE1-0B63-42A0-A205-92CE31213950}" name="15" dataDxfId="602" totalsRowDxfId="603"/>
    <tableColumn id="17" xr3:uid="{E29E7E0F-3FB3-4FA2-82AE-07E5A3E75732}" name="16" dataDxfId="600" totalsRowDxfId="601"/>
    <tableColumn id="18" xr3:uid="{6B5CF43B-C069-46C1-9B37-23B0B3F56EA8}" name="17" dataDxfId="598" totalsRowDxfId="599"/>
    <tableColumn id="19" xr3:uid="{A430711F-9A75-4054-8A23-E8D4A72BEDF2}" name="18" dataDxfId="596" totalsRowDxfId="597"/>
    <tableColumn id="20" xr3:uid="{680C1610-37FD-47C8-AC68-298EC5A9C22D}" name="19" dataDxfId="594" totalsRowDxfId="595"/>
    <tableColumn id="21" xr3:uid="{9C4C41C5-AA4A-46A9-8011-50BCE0E46948}" name="20" dataDxfId="592" totalsRowDxfId="593"/>
    <tableColumn id="22" xr3:uid="{8877BCA8-E2DC-4055-9AA2-705B8701329D}" name="21" dataDxfId="590" totalsRowDxfId="591"/>
    <tableColumn id="23" xr3:uid="{12C17E8E-EB9A-4788-80A4-4A1883079BCC}" name="22" dataDxfId="588" totalsRowDxfId="589"/>
    <tableColumn id="24" xr3:uid="{ECB4242B-502F-4139-83F0-8D974A5CCAC8}" name="23" dataDxfId="586" totalsRowDxfId="587"/>
    <tableColumn id="25" xr3:uid="{CE8BA00D-762F-487D-90FB-964ADA1676D5}" name="24" dataDxfId="584" totalsRowDxfId="585"/>
    <tableColumn id="26" xr3:uid="{6363E434-8800-492A-987E-F3756615A7AF}" name="25" dataDxfId="582" totalsRowDxfId="583"/>
    <tableColumn id="27" xr3:uid="{F384D515-BDF0-45DA-86F7-1B64A33FD043}" name="26" dataDxfId="580" totalsRowDxfId="581"/>
    <tableColumn id="28" xr3:uid="{AB772BFA-761A-438E-9859-8EF8475E7A71}" name="27" dataDxfId="578" totalsRowDxfId="579"/>
    <tableColumn id="29" xr3:uid="{D5AC1BFC-6E53-446F-AFC9-A7E4CAC8686D}" name="28" dataDxfId="576" totalsRowDxfId="577"/>
    <tableColumn id="30" xr3:uid="{EE4127B2-61F8-44E1-9F51-B3D9276E918F}" name="29" dataDxfId="574" totalsRowDxfId="575"/>
    <tableColumn id="31" xr3:uid="{EAABADDB-8E30-4893-A630-0210DA9ECECE}" name="30" dataDxfId="572" totalsRowDxfId="573"/>
    <tableColumn id="32" xr3:uid="{525E195B-D830-45F8-A479-C385B272FCAE}" name=" " dataDxfId="570" totalsRowDxfId="571" dataCellStyle="Total"/>
    <tableColumn id="33" xr3:uid="{807CE143-5959-4324-881F-F3DBBB58949F}" name="Nombre de location" dataDxfId="568" totalsRowDxfId="569" dataCellStyle="Total">
      <calculatedColumnFormula>COUNTA(Novembre2710[[#This Row],[1]:[ 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918549C-F7FC-483B-925F-C69CF7C507A2}" name="Novembre27" displayName="Novembre27" ref="B8:AH16" totalsRowShown="0" headerRowDxfId="565" dataDxfId="564" totalsRowDxfId="563">
  <tableColumns count="33">
    <tableColumn id="1" xr3:uid="{8A88C4FD-3675-40A4-969E-E608484AD513}" name="Materiel Comité" dataDxfId="561" totalsRowDxfId="562" dataCellStyle="Employé"/>
    <tableColumn id="2" xr3:uid="{58E82FB6-5C34-431C-9776-B860B99E9614}" name="1" dataDxfId="559" totalsRowDxfId="560"/>
    <tableColumn id="3" xr3:uid="{B48C53E5-E56A-425B-923D-7A32752339BE}" name="2" dataDxfId="557" totalsRowDxfId="558"/>
    <tableColumn id="4" xr3:uid="{2FDCE46D-CA26-48F1-8284-6A9604337C0B}" name="3" dataDxfId="555" totalsRowDxfId="556"/>
    <tableColumn id="5" xr3:uid="{88B7D61D-9CD9-4AFB-AAB0-E206B09FF433}" name="4" dataDxfId="553" totalsRowDxfId="554"/>
    <tableColumn id="6" xr3:uid="{0DAA72CD-9C46-44C6-A3A9-C043CC903AD0}" name="5" dataDxfId="551" totalsRowDxfId="552"/>
    <tableColumn id="7" xr3:uid="{87F945E0-3EA2-4174-B3AE-B588EC42F6E5}" name="6" dataDxfId="549" totalsRowDxfId="550"/>
    <tableColumn id="8" xr3:uid="{26AEDEB5-86FE-4119-80A6-4BD425945690}" name="7" dataDxfId="547" totalsRowDxfId="548"/>
    <tableColumn id="9" xr3:uid="{4E76ED81-2094-43AD-AB42-E632374CC1FE}" name="8" dataDxfId="545" totalsRowDxfId="546"/>
    <tableColumn id="10" xr3:uid="{8679FF61-BAE7-438A-8181-9B9E0944E349}" name="9" dataDxfId="543" totalsRowDxfId="544"/>
    <tableColumn id="11" xr3:uid="{D830F1BC-F335-42E1-91D1-1D63AC74C622}" name="10" dataDxfId="541" totalsRowDxfId="542"/>
    <tableColumn id="12" xr3:uid="{DA27AE05-2731-435D-97DA-B27835012DE0}" name="11" dataDxfId="539" totalsRowDxfId="540"/>
    <tableColumn id="13" xr3:uid="{5CFAB6E5-E1B2-4ADE-82B9-09AFD2BFE72B}" name="12" dataDxfId="537" totalsRowDxfId="538"/>
    <tableColumn id="14" xr3:uid="{21B4C91B-6B13-4C36-95AB-0C6F2998460E}" name="13" dataDxfId="535" totalsRowDxfId="536"/>
    <tableColumn id="15" xr3:uid="{E2037EED-686B-4A8B-BEB4-611868394BD1}" name="14" dataDxfId="533" totalsRowDxfId="534"/>
    <tableColumn id="16" xr3:uid="{4C3E4125-41F9-440C-B88C-A36C7E1B5CB6}" name="15" dataDxfId="531" totalsRowDxfId="532"/>
    <tableColumn id="17" xr3:uid="{CCE6717A-56DF-443C-8390-CFA302DAE942}" name="16" dataDxfId="529" totalsRowDxfId="530"/>
    <tableColumn id="18" xr3:uid="{AFD4D0E7-1B50-4FAB-BAC9-F8169FFC57AC}" name="17" dataDxfId="527" totalsRowDxfId="528"/>
    <tableColumn id="19" xr3:uid="{A7E7F864-AE8C-4F88-879A-147CFC888383}" name="18" dataDxfId="525" totalsRowDxfId="526"/>
    <tableColumn id="20" xr3:uid="{5938D17B-B5A5-4784-AA2A-B13D73C84C06}" name="19" dataDxfId="523" totalsRowDxfId="524"/>
    <tableColumn id="21" xr3:uid="{789338E5-C80E-42CC-B634-D51FBBC462BC}" name="20" dataDxfId="521" totalsRowDxfId="522"/>
    <tableColumn id="22" xr3:uid="{DCB917A5-B7B4-491A-91EC-F684B3724A87}" name="21" dataDxfId="519" totalsRowDxfId="520"/>
    <tableColumn id="23" xr3:uid="{B318EE92-6759-4E60-B082-34BDB2CBF986}" name="22" dataDxfId="517" totalsRowDxfId="518"/>
    <tableColumn id="24" xr3:uid="{66AA0EA2-80C8-42CB-B112-C662ED473D84}" name="23" dataDxfId="515" totalsRowDxfId="516"/>
    <tableColumn id="25" xr3:uid="{41D31F2E-F262-4686-B116-700A926CBA6D}" name="24" dataDxfId="513" totalsRowDxfId="514"/>
    <tableColumn id="26" xr3:uid="{D4EB36AE-6165-452D-9370-16BD687E5D02}" name="25" dataDxfId="511" totalsRowDxfId="512"/>
    <tableColumn id="27" xr3:uid="{D3F54B65-A75F-4CD8-9BD4-E238BDB986F3}" name="26" dataDxfId="509" totalsRowDxfId="510"/>
    <tableColumn id="28" xr3:uid="{1E1563F2-D394-415A-9649-26CD4400D866}" name="27" dataDxfId="507" totalsRowDxfId="508"/>
    <tableColumn id="29" xr3:uid="{493F4304-699A-4D74-AFF1-7DC64257E61D}" name="28" dataDxfId="505" totalsRowDxfId="506"/>
    <tableColumn id="30" xr3:uid="{22793F79-6C72-4091-8AB0-C370C2D57B1D}" name="29" dataDxfId="503" totalsRowDxfId="504"/>
    <tableColumn id="31" xr3:uid="{AA951BF6-0D74-4919-81CC-233562AB38E9}" name="30" dataDxfId="501" totalsRowDxfId="502"/>
    <tableColumn id="32" xr3:uid="{12F6E90C-62EE-4074-B12C-2DFEF604EB1B}" name="31" dataDxfId="499" totalsRowDxfId="500" dataCellStyle="Total"/>
    <tableColumn id="33" xr3:uid="{714F2342-1CCD-4E61-8268-D27CD63B9CFF}" name="Nombre de location" dataDxfId="497" totalsRowDxfId="498" dataCellStyle="Total">
      <calculatedColumnFormula>COUNTA(Novembre27[[#This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239CDC9-240A-4CAA-B291-586DE7569DC5}" name="Novembre2" displayName="Novembre2" ref="B8:AH16" totalsRowShown="0" headerRowDxfId="494" dataDxfId="493" totalsRowDxfId="492">
  <tableColumns count="33">
    <tableColumn id="1" xr3:uid="{F0A75740-2360-429C-8881-79A6B8008A79}" name="Materiel Comité" dataDxfId="490" totalsRowDxfId="491" dataCellStyle="Employé"/>
    <tableColumn id="2" xr3:uid="{3CA03655-A195-434F-B6A8-EE0FAABB763D}" name="1" dataDxfId="488" totalsRowDxfId="489"/>
    <tableColumn id="3" xr3:uid="{723B639E-67C6-4108-AAB8-79D4FCED84EF}" name="2" dataDxfId="486" totalsRowDxfId="487"/>
    <tableColumn id="4" xr3:uid="{4690C8A8-A955-4F77-8CCA-04A0CF0950EA}" name="3" dataDxfId="484" totalsRowDxfId="485"/>
    <tableColumn id="5" xr3:uid="{1E18FAE3-82F2-497B-B23D-79006C4ABE19}" name="4" dataDxfId="482" totalsRowDxfId="483"/>
    <tableColumn id="6" xr3:uid="{D84FFEE4-B0A2-4CD3-83E4-4C0D45AC8FBC}" name="5" dataDxfId="480" totalsRowDxfId="481"/>
    <tableColumn id="7" xr3:uid="{8FC6EBF2-D867-4B25-9A19-C3CEFC780024}" name="6" dataDxfId="478" totalsRowDxfId="479"/>
    <tableColumn id="8" xr3:uid="{527C2CFB-229C-4FBC-9C4B-78710C40819F}" name="7" dataDxfId="476" totalsRowDxfId="477"/>
    <tableColumn id="9" xr3:uid="{29089CAC-5DEB-4110-98F5-3F29227C00D0}" name="8" dataDxfId="474" totalsRowDxfId="475"/>
    <tableColumn id="10" xr3:uid="{FC6A8AC9-38A9-47CF-9B88-D0D4A04306BF}" name="9" dataDxfId="472" totalsRowDxfId="473"/>
    <tableColumn id="11" xr3:uid="{A7DB3FC3-3AEA-4D8F-8000-F5A8EC8FE252}" name="10" dataDxfId="470" totalsRowDxfId="471"/>
    <tableColumn id="12" xr3:uid="{0EFFB0AD-D19D-47D6-95D8-3F53BA695A38}" name="11" dataDxfId="468" totalsRowDxfId="469"/>
    <tableColumn id="13" xr3:uid="{26EA2D5C-9AD6-402F-B16F-ACC83B47FADF}" name="12" dataDxfId="466" totalsRowDxfId="467"/>
    <tableColumn id="14" xr3:uid="{DE5A35DF-2E34-4C3D-80AF-4049CEE4B2C2}" name="13" dataDxfId="464" totalsRowDxfId="465"/>
    <tableColumn id="15" xr3:uid="{24AE2F74-68FC-45B7-BEA7-B563AE62AB57}" name="14" dataDxfId="462" totalsRowDxfId="463"/>
    <tableColumn id="16" xr3:uid="{D8D52C38-0381-4EB7-ADCD-D4FDA86838C5}" name="15" dataDxfId="460" totalsRowDxfId="461"/>
    <tableColumn id="17" xr3:uid="{1FDD1992-753C-480C-AECA-D6474DC97004}" name="16" dataDxfId="458" totalsRowDxfId="459"/>
    <tableColumn id="18" xr3:uid="{0E8E55C5-E1C6-4946-8522-C2F4D14D4DC0}" name="17" dataDxfId="456" totalsRowDxfId="457"/>
    <tableColumn id="19" xr3:uid="{0F67CC7F-C2BC-4E09-A34A-832641A32821}" name="18" dataDxfId="454" totalsRowDxfId="455"/>
    <tableColumn id="20" xr3:uid="{FDF2A09D-1827-49D3-8703-5737C2C05ECC}" name="19" dataDxfId="452" totalsRowDxfId="453"/>
    <tableColumn id="21" xr3:uid="{FC1ABCC5-67DB-4A4A-AEC1-0BF3900E9CDB}" name="20" dataDxfId="450" totalsRowDxfId="451"/>
    <tableColumn id="22" xr3:uid="{5B31AD53-AFCF-42F2-A29D-6672568FB145}" name="21" dataDxfId="448" totalsRowDxfId="449"/>
    <tableColumn id="23" xr3:uid="{55C49225-1F41-4BD4-A6B2-327977CE1A92}" name="22" dataDxfId="446" totalsRowDxfId="447"/>
    <tableColumn id="24" xr3:uid="{4894E424-54DF-41C7-80C2-341E79FC6E63}" name="23" dataDxfId="444" totalsRowDxfId="445"/>
    <tableColumn id="25" xr3:uid="{AB70D06F-17C0-414D-A7D3-E700B42A9153}" name="24" dataDxfId="442" totalsRowDxfId="443"/>
    <tableColumn id="26" xr3:uid="{9665AD80-C661-4266-A625-966E232C514F}" name="25" dataDxfId="440" totalsRowDxfId="441"/>
    <tableColumn id="27" xr3:uid="{BAEAF2A8-4131-4278-9749-4CDCC1FED0FC}" name="26" dataDxfId="438" totalsRowDxfId="439"/>
    <tableColumn id="28" xr3:uid="{EA308315-70E1-478E-82FA-78B0381C7BAB}" name="27" dataDxfId="436" totalsRowDxfId="437"/>
    <tableColumn id="29" xr3:uid="{AE70677E-65E7-4AD5-BC8C-C2A7D319CE7F}" name="28" dataDxfId="434" totalsRowDxfId="435"/>
    <tableColumn id="30" xr3:uid="{E597DE43-FE1F-4377-A558-15F91A1422B7}" name="29" dataDxfId="432" totalsRowDxfId="433"/>
    <tableColumn id="31" xr3:uid="{E1F32E2F-6506-423B-B501-21A30DC86B7A}" name="30" dataDxfId="430" totalsRowDxfId="431"/>
    <tableColumn id="32" xr3:uid="{B00257FC-D6B4-4EF4-B8BA-87E6124DB461}" name=" " dataDxfId="428" totalsRowDxfId="429" dataCellStyle="Total"/>
    <tableColumn id="33" xr3:uid="{09368FDC-F89E-426A-8B69-E0D53080393B}" name="Nombre de location" dataDxfId="426" totalsRowDxfId="427" dataCellStyle="Total">
      <calculatedColumnFormula>COUNTA(Novembre2[[#This Row],[1]:[ 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4958C21A-E61B-48EF-A78C-36214FC94CF8}" name="Juillet12" displayName="Juillet12" ref="B8:AH16" totalsRowShown="0" headerRowDxfId="423" dataDxfId="422" totalsRowDxfId="421">
  <tableColumns count="33">
    <tableColumn id="1" xr3:uid="{F4108B60-B138-4ED8-86B9-8384993DD7BF}" name="Materiel Comité" dataDxfId="419" totalsRowDxfId="420" dataCellStyle="Employé"/>
    <tableColumn id="2" xr3:uid="{9189217D-E3FB-409E-900F-80ECFC5FCB6F}" name="1" dataDxfId="417" totalsRowDxfId="418"/>
    <tableColumn id="3" xr3:uid="{C58BEAB4-1F87-4A99-A4EB-62D8C6024E61}" name="2" dataDxfId="415" totalsRowDxfId="416"/>
    <tableColumn id="4" xr3:uid="{59351F5E-EB6D-49C0-B42D-2C7FE6DBD66D}" name="3" dataDxfId="413" totalsRowDxfId="414"/>
    <tableColumn id="5" xr3:uid="{C13E163B-0A97-468D-BB9C-6B8C77D8FAC7}" name="4" dataDxfId="411" totalsRowDxfId="412"/>
    <tableColumn id="6" xr3:uid="{88DD5F72-3221-4A77-BFE0-467AE8FB180B}" name="5" dataDxfId="409" totalsRowDxfId="410"/>
    <tableColumn id="7" xr3:uid="{D6FC0F62-FF29-4398-818C-A6DCDE54A851}" name="6" dataDxfId="407" totalsRowDxfId="408"/>
    <tableColumn id="8" xr3:uid="{D31C4D86-B6D7-4149-9C3C-735D3936604A}" name="7" dataDxfId="405" totalsRowDxfId="406"/>
    <tableColumn id="9" xr3:uid="{99B4AEE6-E905-405F-9BF5-E55BE07B2033}" name="8" dataDxfId="403" totalsRowDxfId="404"/>
    <tableColumn id="10" xr3:uid="{7A37A55F-0500-48D5-8DAB-76A61592A48C}" name="9" dataDxfId="401" totalsRowDxfId="402"/>
    <tableColumn id="11" xr3:uid="{5F848166-E11B-492E-BA3E-2183BA7B2064}" name="10" dataDxfId="399" totalsRowDxfId="400"/>
    <tableColumn id="12" xr3:uid="{9309FD30-5AC3-4ACE-9CC1-E220703D5D2C}" name="11" dataDxfId="397" totalsRowDxfId="398"/>
    <tableColumn id="13" xr3:uid="{33713417-18FB-4C06-A47B-F49D992CDE85}" name="12" dataDxfId="395" totalsRowDxfId="396"/>
    <tableColumn id="14" xr3:uid="{59DC2D93-007F-4A5A-B6E6-B5BF7160B879}" name="13" dataDxfId="393" totalsRowDxfId="394"/>
    <tableColumn id="15" xr3:uid="{25DEC425-C525-4DD7-907B-FEF175A7965F}" name="14" dataDxfId="391" totalsRowDxfId="392"/>
    <tableColumn id="16" xr3:uid="{34E6A8E5-C93B-4479-9B31-79E691ADC3A5}" name="15" dataDxfId="389" totalsRowDxfId="390"/>
    <tableColumn id="17" xr3:uid="{0C02D42A-70D9-4D05-B0AA-E1A6CD95B211}" name="16" dataDxfId="387" totalsRowDxfId="388"/>
    <tableColumn id="18" xr3:uid="{B90B67D3-0688-49E8-B9E4-D87CC7580713}" name="17" dataDxfId="385" totalsRowDxfId="386"/>
    <tableColumn id="19" xr3:uid="{06795667-D519-4FA4-9F93-63D0CFB6D083}" name="18" dataDxfId="383" totalsRowDxfId="384"/>
    <tableColumn id="20" xr3:uid="{0619303F-315B-492C-A7CF-3F91B5F72BE7}" name="19" dataDxfId="381" totalsRowDxfId="382"/>
    <tableColumn id="21" xr3:uid="{88E5361C-EA66-4BE2-AEEC-74269D503DEB}" name="20" dataDxfId="379" totalsRowDxfId="380"/>
    <tableColumn id="22" xr3:uid="{46E4C57A-E874-4FE4-B22A-ADCF83069BD1}" name="21" dataDxfId="377" totalsRowDxfId="378"/>
    <tableColumn id="23" xr3:uid="{A05C8397-159E-4168-90EF-352D1CBCC51D}" name="22" dataDxfId="375" totalsRowDxfId="376"/>
    <tableColumn id="24" xr3:uid="{92A455A7-C743-4288-A7D7-B4F6E564133B}" name="23" dataDxfId="373" totalsRowDxfId="374"/>
    <tableColumn id="25" xr3:uid="{3BF7DB51-50F7-40AA-985B-A7153AD9DEAA}" name="24" dataDxfId="371" totalsRowDxfId="372"/>
    <tableColumn id="26" xr3:uid="{B0E3A18A-5F41-48CA-8FC5-D01CC047E929}" name="25" dataDxfId="369" totalsRowDxfId="370"/>
    <tableColumn id="27" xr3:uid="{CFED2A58-89D2-4BBE-952A-990A372708B6}" name="26" dataDxfId="367" totalsRowDxfId="368"/>
    <tableColumn id="28" xr3:uid="{5FA7EC0D-EA7F-4C7E-AC53-33F7F64F1FAB}" name="27" dataDxfId="365" totalsRowDxfId="366"/>
    <tableColumn id="29" xr3:uid="{B368EFBD-B8CF-41E9-8E4F-F8BDFEF7A101}" name="28" dataDxfId="363" totalsRowDxfId="364"/>
    <tableColumn id="30" xr3:uid="{63725BBD-60A0-4D8E-93D7-1CEF5F979609}" name="29" dataDxfId="361" totalsRowDxfId="362"/>
    <tableColumn id="31" xr3:uid="{0483F076-90DD-4B68-A2C2-66487EA5D9D5}" name="30" dataDxfId="359" totalsRowDxfId="360"/>
    <tableColumn id="32" xr3:uid="{C5FB3168-D243-42C9-9FD9-CD20DE5D534A}" name="31" dataDxfId="357" totalsRowDxfId="358" dataCellStyle="Total"/>
    <tableColumn id="33" xr3:uid="{8ADF6D27-DBAE-4D9D-A75B-47B9123871A4}" name="Nombre de location" dataDxfId="355" totalsRowDxfId="356" dataCellStyle="Total">
      <calculatedColumnFormula>COUNTA(Juillet12[[#This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Février" displayName="Février" ref="B8:AH16" totalsRowShown="0" headerRowDxfId="1644" dataDxfId="1643" totalsRowDxfId="1642">
  <tableColumns count="33">
    <tableColumn id="1" xr3:uid="{00000000-0010-0000-0100-000001000000}" name="Materiel Comité" dataDxfId="1640" totalsRowDxfId="1641" dataCellStyle="Employé"/>
    <tableColumn id="2" xr3:uid="{00000000-0010-0000-0100-000002000000}" name="1" dataDxfId="1638" totalsRowDxfId="1639" dataCellStyle="Total"/>
    <tableColumn id="3" xr3:uid="{00000000-0010-0000-0100-000003000000}" name="2" dataDxfId="1636" totalsRowDxfId="1637" dataCellStyle="Total"/>
    <tableColumn id="4" xr3:uid="{00000000-0010-0000-0100-000004000000}" name="3" dataDxfId="1634" totalsRowDxfId="1635" dataCellStyle="Total"/>
    <tableColumn id="5" xr3:uid="{00000000-0010-0000-0100-000005000000}" name="4" dataDxfId="1632" totalsRowDxfId="1633" dataCellStyle="Total"/>
    <tableColumn id="6" xr3:uid="{00000000-0010-0000-0100-000006000000}" name="5" dataDxfId="1630" totalsRowDxfId="1631" dataCellStyle="Total"/>
    <tableColumn id="7" xr3:uid="{00000000-0010-0000-0100-000007000000}" name="6" dataDxfId="1628" totalsRowDxfId="1629" dataCellStyle="Total"/>
    <tableColumn id="8" xr3:uid="{00000000-0010-0000-0100-000008000000}" name="7" dataDxfId="1626" totalsRowDxfId="1627" dataCellStyle="Total"/>
    <tableColumn id="9" xr3:uid="{00000000-0010-0000-0100-000009000000}" name="8" dataDxfId="1624" totalsRowDxfId="1625" dataCellStyle="Total"/>
    <tableColumn id="10" xr3:uid="{00000000-0010-0000-0100-00000A000000}" name="9" dataDxfId="1622" totalsRowDxfId="1623" dataCellStyle="Total"/>
    <tableColumn id="11" xr3:uid="{00000000-0010-0000-0100-00000B000000}" name="10" dataDxfId="1620" totalsRowDxfId="1621" dataCellStyle="Total"/>
    <tableColumn id="12" xr3:uid="{00000000-0010-0000-0100-00000C000000}" name="11" dataDxfId="1618" totalsRowDxfId="1619" dataCellStyle="Total"/>
    <tableColumn id="13" xr3:uid="{00000000-0010-0000-0100-00000D000000}" name="12" dataDxfId="1616" totalsRowDxfId="1617" dataCellStyle="Total"/>
    <tableColumn id="14" xr3:uid="{00000000-0010-0000-0100-00000E000000}" name="13" dataDxfId="1614" totalsRowDxfId="1615" dataCellStyle="Total"/>
    <tableColumn id="15" xr3:uid="{00000000-0010-0000-0100-00000F000000}" name="14" dataDxfId="1612" totalsRowDxfId="1613" dataCellStyle="Total"/>
    <tableColumn id="16" xr3:uid="{00000000-0010-0000-0100-000010000000}" name="15" dataDxfId="1610" totalsRowDxfId="1611" dataCellStyle="Total"/>
    <tableColumn id="17" xr3:uid="{00000000-0010-0000-0100-000011000000}" name="16" dataDxfId="1608" totalsRowDxfId="1609" dataCellStyle="Total"/>
    <tableColumn id="18" xr3:uid="{00000000-0010-0000-0100-000012000000}" name="17" dataDxfId="1606" totalsRowDxfId="1607" dataCellStyle="Total"/>
    <tableColumn id="19" xr3:uid="{00000000-0010-0000-0100-000013000000}" name="18" dataDxfId="1604" totalsRowDxfId="1605" dataCellStyle="Total"/>
    <tableColumn id="20" xr3:uid="{00000000-0010-0000-0100-000014000000}" name="19" dataDxfId="1602" totalsRowDxfId="1603" dataCellStyle="Total"/>
    <tableColumn id="21" xr3:uid="{00000000-0010-0000-0100-000015000000}" name="20" dataDxfId="1600" totalsRowDxfId="1601" dataCellStyle="Total"/>
    <tableColumn id="22" xr3:uid="{00000000-0010-0000-0100-000016000000}" name="21" dataDxfId="1598" totalsRowDxfId="1599" dataCellStyle="Total"/>
    <tableColumn id="23" xr3:uid="{00000000-0010-0000-0100-000017000000}" name="22" dataDxfId="1596" totalsRowDxfId="1597" dataCellStyle="Total"/>
    <tableColumn id="24" xr3:uid="{00000000-0010-0000-0100-000018000000}" name="23" dataDxfId="1594" totalsRowDxfId="1595" dataCellStyle="Total"/>
    <tableColumn id="25" xr3:uid="{00000000-0010-0000-0100-000019000000}" name="24" dataDxfId="1592" totalsRowDxfId="1593" dataCellStyle="Total"/>
    <tableColumn id="26" xr3:uid="{00000000-0010-0000-0100-00001A000000}" name="25" dataDxfId="1590" totalsRowDxfId="1591" dataCellStyle="Total"/>
    <tableColumn id="27" xr3:uid="{00000000-0010-0000-0100-00001B000000}" name="26" dataDxfId="1588" totalsRowDxfId="1589" dataCellStyle="Total"/>
    <tableColumn id="28" xr3:uid="{00000000-0010-0000-0100-00001C000000}" name="27" dataDxfId="1586" totalsRowDxfId="1587" dataCellStyle="Total"/>
    <tableColumn id="29" xr3:uid="{00000000-0010-0000-0100-00001D000000}" name="28" dataDxfId="1584" totalsRowDxfId="1585" dataCellStyle="Total"/>
    <tableColumn id="30" xr3:uid="{00000000-0010-0000-0100-00001E000000}" name="29" dataDxfId="1582" totalsRowDxfId="1583" dataCellStyle="Total"/>
    <tableColumn id="31" xr3:uid="{00000000-0010-0000-0100-00001F000000}" name=" " dataDxfId="1580" totalsRowDxfId="1581" dataCellStyle="Total"/>
    <tableColumn id="32" xr3:uid="{00000000-0010-0000-0100-000020000000}" name="  " dataDxfId="1578" totalsRowDxfId="1579" dataCellStyle="Total"/>
    <tableColumn id="33" xr3:uid="{00000000-0010-0000-0100-000021000000}" name="Nombre de location" dataDxfId="1576" totalsRowDxfId="1577" dataCellStyle="Total">
      <calculatedColumnFormula>COUNTA(Février[[#This Row],[1]:[29]])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4010D9A5-3C5B-4463-8FBC-3DF85AF589C5}" name="Août14" displayName="Août14" ref="B8:AH16" totalsRowShown="0" headerRowDxfId="352" dataDxfId="351" totalsRowDxfId="350">
  <tableColumns count="33">
    <tableColumn id="1" xr3:uid="{3F3B1467-92E5-4FF5-9EE0-E64B4F318FF3}" name="Materiel Comité" dataDxfId="348" totalsRowDxfId="349" dataCellStyle="Employé"/>
    <tableColumn id="2" xr3:uid="{EFDAE1AE-0D78-4C72-83C5-2AA8BBB91E4E}" name="1" dataDxfId="346" totalsRowDxfId="347"/>
    <tableColumn id="3" xr3:uid="{3BCE1664-22EF-412B-BCF1-7B0271E162C6}" name="2" dataDxfId="344" totalsRowDxfId="345"/>
    <tableColumn id="4" xr3:uid="{AEC326AC-FFBA-4BB8-A9A3-1E6B5164D419}" name="3" dataDxfId="342" totalsRowDxfId="343"/>
    <tableColumn id="5" xr3:uid="{8D3B869E-0447-406C-AB57-943315CC30E5}" name="4" dataDxfId="340" totalsRowDxfId="341"/>
    <tableColumn id="6" xr3:uid="{AF399EC7-FFC7-4F2C-BF54-F08E06D774BF}" name="5" dataDxfId="338" totalsRowDxfId="339"/>
    <tableColumn id="7" xr3:uid="{8B2C8F93-C49D-48B1-BEE5-91229B7B8FCB}" name="6" dataDxfId="336" totalsRowDxfId="337"/>
    <tableColumn id="8" xr3:uid="{022E8083-5E0A-4A26-9C75-A8131EC5AA47}" name="7" dataDxfId="334" totalsRowDxfId="335"/>
    <tableColumn id="9" xr3:uid="{9FB6B2D6-F300-4432-8F35-8300D3D41C54}" name="8" dataDxfId="332" totalsRowDxfId="333"/>
    <tableColumn id="10" xr3:uid="{1449C85C-6A67-476D-B6D2-E04E9BE9CA3F}" name="9" dataDxfId="330" totalsRowDxfId="331"/>
    <tableColumn id="11" xr3:uid="{1351E5AB-1465-4D52-B2D4-7D7BE311800B}" name="10" dataDxfId="328" totalsRowDxfId="329"/>
    <tableColumn id="12" xr3:uid="{6BC12FBB-9AA1-4BF3-AD01-8B34003E5690}" name="11" dataDxfId="326" totalsRowDxfId="327"/>
    <tableColumn id="13" xr3:uid="{6539DCB6-FFC6-48E9-B0DC-7FDB481DA576}" name="12" dataDxfId="324" totalsRowDxfId="325"/>
    <tableColumn id="14" xr3:uid="{15837AB0-8C72-4914-AFB9-7FEB7B2CEEF8}" name="13" dataDxfId="322" totalsRowDxfId="323"/>
    <tableColumn id="15" xr3:uid="{109C5896-D288-42F7-B18A-1C9DC788EEE5}" name="14" dataDxfId="320" totalsRowDxfId="321"/>
    <tableColumn id="16" xr3:uid="{41DA0539-68AF-4EEF-879F-445733B107DF}" name="15" dataDxfId="318" totalsRowDxfId="319"/>
    <tableColumn id="17" xr3:uid="{0E19C432-3CB0-47A7-8216-9C19424497B3}" name="16" dataDxfId="316" totalsRowDxfId="317"/>
    <tableColumn id="18" xr3:uid="{762AE301-5C9E-4F2C-B8DB-3341B45933A9}" name="17" dataDxfId="314" totalsRowDxfId="315"/>
    <tableColumn id="19" xr3:uid="{3D6285AB-28FA-4448-AA05-1DEC79DAB017}" name="18" dataDxfId="312" totalsRowDxfId="313"/>
    <tableColumn id="20" xr3:uid="{91FD0568-905A-4C78-8B16-2187F0E8D063}" name="19" dataDxfId="310" totalsRowDxfId="311"/>
    <tableColumn id="21" xr3:uid="{8C2391C7-F7F8-4CF0-90A1-B1E229429E3F}" name="20" dataDxfId="308" totalsRowDxfId="309"/>
    <tableColumn id="22" xr3:uid="{14F5304E-490B-4E6E-B301-DB882C3619F1}" name="21" dataDxfId="306" totalsRowDxfId="307"/>
    <tableColumn id="23" xr3:uid="{53AF416F-428A-402D-A74E-620A13F5CCDD}" name="22" dataDxfId="304" totalsRowDxfId="305"/>
    <tableColumn id="24" xr3:uid="{5F9FB3EA-8D54-41DC-8B5F-9154C61AB7A7}" name="23" dataDxfId="302" totalsRowDxfId="303"/>
    <tableColumn id="25" xr3:uid="{ABCA5979-8D81-4A61-925A-E072AD193C82}" name="24" dataDxfId="300" totalsRowDxfId="301"/>
    <tableColumn id="26" xr3:uid="{13FB0BC5-AC77-40A1-9672-322B1EC12868}" name="25" dataDxfId="298" totalsRowDxfId="299"/>
    <tableColumn id="27" xr3:uid="{50690143-7FAA-499E-8AB0-4BFDD73E5889}" name="26" dataDxfId="296" totalsRowDxfId="297"/>
    <tableColumn id="28" xr3:uid="{8F93856F-345C-41E7-A930-282F4E85085B}" name="27" dataDxfId="294" totalsRowDxfId="295"/>
    <tableColumn id="29" xr3:uid="{050DF38E-46CF-42A7-B03A-BDC889E7416D}" name="28" dataDxfId="292" totalsRowDxfId="293"/>
    <tableColumn id="30" xr3:uid="{79F46FF0-BAFD-4C6B-99F0-1A4D7A51876A}" name="29" dataDxfId="290" totalsRowDxfId="291"/>
    <tableColumn id="31" xr3:uid="{B5035561-7B29-46DF-A126-A056FB80AB36}" name="30" dataDxfId="288" totalsRowDxfId="289"/>
    <tableColumn id="32" xr3:uid="{70FEF210-B05D-4B01-B33D-9B9382BF4190}" name="31" dataDxfId="286" totalsRowDxfId="287" dataCellStyle="Total"/>
    <tableColumn id="33" xr3:uid="{199AC76B-D44E-464B-9293-396C185A8917}" name="Nombre de location" dataDxfId="284" totalsRowDxfId="285" dataCellStyle="Total">
      <calculatedColumnFormula>COUNTA(Août14[[#This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A95A3A09-63C6-4335-AA4A-40750DE22C12}" name="Septembre16" displayName="Septembre16" ref="B8:AH16" totalsRowShown="0" headerRowDxfId="281" dataDxfId="280" totalsRowDxfId="279">
  <tableColumns count="33">
    <tableColumn id="1" xr3:uid="{F751522B-621F-4477-8D1A-67A9D40F0687}" name="Materiel Comité" dataDxfId="277" totalsRowDxfId="278" dataCellStyle="Employé"/>
    <tableColumn id="2" xr3:uid="{08DE98A0-C532-404B-A9F0-6E6245224AFC}" name="1" dataDxfId="275" totalsRowDxfId="276"/>
    <tableColumn id="3" xr3:uid="{587376D3-65A8-4EB0-B17A-F619CCEF46F1}" name="2" dataDxfId="273" totalsRowDxfId="274"/>
    <tableColumn id="4" xr3:uid="{0D3B66CC-F132-44AE-8314-4EA22BF1FD59}" name="3" dataDxfId="271" totalsRowDxfId="272"/>
    <tableColumn id="5" xr3:uid="{E455FC4F-A7C9-41B7-887A-91A90C871C2F}" name="4" dataDxfId="269" totalsRowDxfId="270"/>
    <tableColumn id="6" xr3:uid="{CB07B6CD-1C63-4934-A14E-A51DB7A65886}" name="5" dataDxfId="267" totalsRowDxfId="268"/>
    <tableColumn id="7" xr3:uid="{2ACAE70B-95E9-41F8-814A-A44DDD53C95A}" name="6" dataDxfId="265" totalsRowDxfId="266"/>
    <tableColumn id="8" xr3:uid="{72723D24-14CF-476B-A4FD-01B97A6D1CD1}" name="7" dataDxfId="263" totalsRowDxfId="264"/>
    <tableColumn id="9" xr3:uid="{DDECDAB0-52EC-4A38-958F-54EE0CA0B382}" name="8" dataDxfId="261" totalsRowDxfId="262"/>
    <tableColumn id="10" xr3:uid="{47B6852D-4828-4913-B236-77A7772124B9}" name="9" dataDxfId="259" totalsRowDxfId="260"/>
    <tableColumn id="11" xr3:uid="{19653791-0C42-4204-91AD-E05214E03817}" name="10" dataDxfId="257" totalsRowDxfId="258"/>
    <tableColumn id="12" xr3:uid="{2F312C2B-B501-4EAA-9BA8-D796AA23DD0A}" name="11" dataDxfId="255" totalsRowDxfId="256"/>
    <tableColumn id="13" xr3:uid="{F923DAF2-9B75-48DB-8DCF-0FA7FF282870}" name="12" dataDxfId="253" totalsRowDxfId="254"/>
    <tableColumn id="14" xr3:uid="{E1DC1D6B-4B9C-4001-BAE8-BAEFC3EEAA6F}" name="13" dataDxfId="251" totalsRowDxfId="252"/>
    <tableColumn id="15" xr3:uid="{A709B432-D0A5-4897-AE10-F7E71110D991}" name="14" dataDxfId="249" totalsRowDxfId="250"/>
    <tableColumn id="16" xr3:uid="{7E9048B0-0850-432B-B5B9-8149DCBC3C1F}" name="15" dataDxfId="247" totalsRowDxfId="248"/>
    <tableColumn id="17" xr3:uid="{3DF3161C-4935-4A1E-A796-11E14DCC41F4}" name="16" dataDxfId="245" totalsRowDxfId="246"/>
    <tableColumn id="18" xr3:uid="{490E39ED-4E69-4197-BA52-1640CF99E812}" name="17" dataDxfId="243" totalsRowDxfId="244"/>
    <tableColumn id="19" xr3:uid="{7492BB49-9181-483D-A021-DE1771F39211}" name="18" dataDxfId="241" totalsRowDxfId="242"/>
    <tableColumn id="20" xr3:uid="{C2AAB6EC-A738-4A5F-BAEA-A81BEFF153D3}" name="19" dataDxfId="239" totalsRowDxfId="240"/>
    <tableColumn id="21" xr3:uid="{5B9594F0-3B6D-498A-9E7F-476B8D40B1C6}" name="20" dataDxfId="237" totalsRowDxfId="238"/>
    <tableColumn id="22" xr3:uid="{822801F0-B647-471A-B9B5-C9FCE7172F15}" name="21" dataDxfId="235" totalsRowDxfId="236"/>
    <tableColumn id="23" xr3:uid="{0AD38F83-59D0-48DF-BC7B-899977278410}" name="22" dataDxfId="233" totalsRowDxfId="234"/>
    <tableColumn id="24" xr3:uid="{E3F16FE8-0EB6-4685-8503-4CD6D9293BDF}" name="23" dataDxfId="231" totalsRowDxfId="232"/>
    <tableColumn id="25" xr3:uid="{3E98C327-8273-461B-B8D8-183C4614746E}" name="24" dataDxfId="229" totalsRowDxfId="230"/>
    <tableColumn id="26" xr3:uid="{715A1D75-C7BB-4095-9885-F10BB0A6854C}" name="25" dataDxfId="227" totalsRowDxfId="228"/>
    <tableColumn id="27" xr3:uid="{170BFF2B-3E7B-4481-8D60-C0C2106A1746}" name="26" dataDxfId="225" totalsRowDxfId="226"/>
    <tableColumn id="28" xr3:uid="{841C550D-DA43-480B-A88C-F65FF7C96BEC}" name="27" dataDxfId="223" totalsRowDxfId="224"/>
    <tableColumn id="29" xr3:uid="{7F7D666E-B223-4469-AB6B-2D0EE47FC52B}" name="28" dataDxfId="221" totalsRowDxfId="222"/>
    <tableColumn id="30" xr3:uid="{0B02FAF4-3BD5-4ED5-B587-89A72ADCB2FF}" name="29" dataDxfId="219" totalsRowDxfId="220"/>
    <tableColumn id="31" xr3:uid="{8FBAEAFC-175B-47FA-8BC6-A78251B5B556}" name="30" dataDxfId="217" totalsRowDxfId="218"/>
    <tableColumn id="32" xr3:uid="{D6AC76B1-B06A-4BFD-9277-0140DA14DB2A}" name=" " dataDxfId="215" totalsRowDxfId="216" dataCellStyle="Total"/>
    <tableColumn id="33" xr3:uid="{E04118A5-5046-4245-A748-585508098C11}" name="Nombre de location" dataDxfId="213" totalsRowDxfId="214" dataCellStyle="Total">
      <calculatedColumnFormula>COUNTA(Septembre16[[#This Row],[1]:[ 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8EF69DCD-719A-4351-9AC0-99B7209736D7}" name="Octobre17" displayName="Octobre17" ref="B8:AH16" totalsRowShown="0" headerRowDxfId="210" dataDxfId="209" totalsRowDxfId="208">
  <tableColumns count="33">
    <tableColumn id="1" xr3:uid="{DB33C446-F57C-46EB-978A-0C57F22F5CF5}" name="Materiel Comité" dataDxfId="206" totalsRowDxfId="207" dataCellStyle="Employé"/>
    <tableColumn id="2" xr3:uid="{44076008-82B8-4340-BE00-5E9BF6AC5241}" name="1" dataDxfId="204" totalsRowDxfId="205"/>
    <tableColumn id="3" xr3:uid="{2C8D3BAA-87FF-4682-9354-9B7D7CF27F3F}" name="2" dataDxfId="202" totalsRowDxfId="203"/>
    <tableColumn id="4" xr3:uid="{31DEEF96-9A88-439B-8A42-5E682C4BCDC0}" name="3" dataDxfId="200" totalsRowDxfId="201"/>
    <tableColumn id="5" xr3:uid="{81C0881B-1749-4D80-9FC1-8E1202D08B50}" name="4" dataDxfId="198" totalsRowDxfId="199"/>
    <tableColumn id="6" xr3:uid="{CA308784-BF1A-4BA1-89D5-3EBEB85850BD}" name="5" dataDxfId="196" totalsRowDxfId="197"/>
    <tableColumn id="7" xr3:uid="{CC2C1EBD-AFBD-4F95-95D0-D4DA2436B772}" name="6" dataDxfId="194" totalsRowDxfId="195"/>
    <tableColumn id="8" xr3:uid="{676062B5-BFD9-455E-AF01-97D5892B7AEC}" name="7" dataDxfId="192" totalsRowDxfId="193"/>
    <tableColumn id="9" xr3:uid="{28646A27-306E-4EB6-ADA3-28058E6EB111}" name="8" dataDxfId="190" totalsRowDxfId="191"/>
    <tableColumn id="10" xr3:uid="{4760A995-26B1-45B8-A33B-A19EF0A558A7}" name="9" dataDxfId="188" totalsRowDxfId="189"/>
    <tableColumn id="11" xr3:uid="{1375945A-7C24-448A-8374-5010533C170A}" name="10" dataDxfId="186" totalsRowDxfId="187"/>
    <tableColumn id="12" xr3:uid="{9AB07716-D438-4A54-8135-95C3D85970D5}" name="11" dataDxfId="184" totalsRowDxfId="185"/>
    <tableColumn id="13" xr3:uid="{C3480FA6-0CB4-4E36-8BE9-43A0B3CE40FF}" name="12" dataDxfId="182" totalsRowDxfId="183"/>
    <tableColumn id="14" xr3:uid="{A9FC37AB-3E45-449A-8F85-FF68D5032602}" name="13" dataDxfId="180" totalsRowDxfId="181"/>
    <tableColumn id="15" xr3:uid="{47267301-1798-4A0E-B5E7-11F3D3E2483D}" name="14" dataDxfId="178" totalsRowDxfId="179"/>
    <tableColumn id="16" xr3:uid="{87111D52-FCB1-4524-97B7-F2C5DE11198E}" name="15" dataDxfId="176" totalsRowDxfId="177"/>
    <tableColumn id="17" xr3:uid="{4984F10B-A3F8-44BC-84D2-63CB91684D50}" name="16" dataDxfId="174" totalsRowDxfId="175"/>
    <tableColumn id="18" xr3:uid="{36CB60BA-9B6D-4997-9BB8-BF8FE2E0ED93}" name="17" dataDxfId="172" totalsRowDxfId="173"/>
    <tableColumn id="19" xr3:uid="{3ADAAA61-4561-4087-B76E-63CDAD165C4A}" name="18" dataDxfId="170" totalsRowDxfId="171"/>
    <tableColumn id="20" xr3:uid="{99736337-5F5C-45FF-9132-6786CBC8CCE8}" name="19" dataDxfId="168" totalsRowDxfId="169"/>
    <tableColumn id="21" xr3:uid="{7A2E1FC9-EDEE-4AFA-8E1F-6D2645258CF4}" name="20" dataDxfId="166" totalsRowDxfId="167"/>
    <tableColumn id="22" xr3:uid="{B21FD666-4C51-4AB3-A86A-E58E3F9B32C1}" name="21" dataDxfId="164" totalsRowDxfId="165"/>
    <tableColumn id="23" xr3:uid="{12EAE0A2-877A-44FD-8806-7A00FED6E413}" name="22" dataDxfId="162" totalsRowDxfId="163"/>
    <tableColumn id="24" xr3:uid="{BFF67CEF-DDB1-4A85-8207-10DC0C71A5B7}" name="23" dataDxfId="160" totalsRowDxfId="161"/>
    <tableColumn id="25" xr3:uid="{650FD1CD-7FD8-41BE-9E51-9BF7ECC8089D}" name="24" dataDxfId="158" totalsRowDxfId="159"/>
    <tableColumn id="26" xr3:uid="{B8C5B2E8-E84C-411C-9CD6-896A44AA5CAA}" name="25" dataDxfId="156" totalsRowDxfId="157"/>
    <tableColumn id="27" xr3:uid="{BFBDE52F-294C-4448-8444-6422059C18EA}" name="26" dataDxfId="154" totalsRowDxfId="155"/>
    <tableColumn id="28" xr3:uid="{FD92E784-5A1C-4998-B6DC-AC0DA6EFBD63}" name="27" dataDxfId="152" totalsRowDxfId="153"/>
    <tableColumn id="29" xr3:uid="{D0588EA6-A5A4-4058-9A8B-01A546D62129}" name="28" dataDxfId="150" totalsRowDxfId="151"/>
    <tableColumn id="30" xr3:uid="{688062D7-9C14-4933-9325-919F7AB762E2}" name="29" dataDxfId="148" totalsRowDxfId="149"/>
    <tableColumn id="31" xr3:uid="{EB250AEB-731B-42FB-AAE6-F1C51F6B82A0}" name="30" dataDxfId="146" totalsRowDxfId="147"/>
    <tableColumn id="32" xr3:uid="{394FAEFA-B6AF-4854-B30D-AD695A991D11}" name="31" dataDxfId="144" totalsRowDxfId="145" dataCellStyle="Total"/>
    <tableColumn id="33" xr3:uid="{90BFC08A-921D-45B2-90DE-BD36749EEF83}" name="Nombre de location" dataDxfId="142" totalsRowDxfId="143" dataCellStyle="Total">
      <calculatedColumnFormula>COUNTA(Octobre17[[#This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C38E5C5D-57FD-44C7-82BC-97440759A01A}" name="Novembre24" displayName="Novembre24" ref="B8:AH16" totalsRowShown="0" headerRowDxfId="139" dataDxfId="138" totalsRowDxfId="137">
  <tableColumns count="33">
    <tableColumn id="1" xr3:uid="{B8056198-1072-4D66-99B6-9B39641992C2}" name="Materiel Comité" dataDxfId="135" totalsRowDxfId="136" dataCellStyle="Employé"/>
    <tableColumn id="2" xr3:uid="{6CCE0E9C-6550-45F2-9AE9-1E8E526DBE77}" name="1" dataDxfId="133" totalsRowDxfId="134"/>
    <tableColumn id="3" xr3:uid="{D29E9DCC-37BB-487D-BA85-84496A6923B3}" name="2" dataDxfId="131" totalsRowDxfId="132"/>
    <tableColumn id="4" xr3:uid="{13CCB38D-E1AF-4CD0-AABF-4D68A212BF03}" name="3" dataDxfId="129" totalsRowDxfId="130"/>
    <tableColumn id="5" xr3:uid="{6F8ED130-6B1F-45AC-9EEF-20481D748BF0}" name="4" dataDxfId="127" totalsRowDxfId="128"/>
    <tableColumn id="6" xr3:uid="{B4FCAC42-36FA-462D-9E9D-160BCAA4A4C9}" name="5" dataDxfId="125" totalsRowDxfId="126"/>
    <tableColumn id="7" xr3:uid="{ACD98074-65CB-43A0-972F-E2B52B9B10B2}" name="6" dataDxfId="123" totalsRowDxfId="124"/>
    <tableColumn id="8" xr3:uid="{05156928-3F44-47FB-B0FA-2E9A7FDB5884}" name="7" dataDxfId="121" totalsRowDxfId="122"/>
    <tableColumn id="9" xr3:uid="{E42618F7-80C6-4612-9C2C-5FB1306E942E}" name="8" dataDxfId="119" totalsRowDxfId="120"/>
    <tableColumn id="10" xr3:uid="{901EF963-A2A9-47A6-9EE5-57CDCC6E0511}" name="9" dataDxfId="117" totalsRowDxfId="118"/>
    <tableColumn id="11" xr3:uid="{450FA63B-BC15-4183-AC5D-7C0757CCAE5D}" name="10" dataDxfId="115" totalsRowDxfId="116"/>
    <tableColumn id="12" xr3:uid="{8BF38213-98F4-47A8-A43A-40559F2004B0}" name="11" dataDxfId="113" totalsRowDxfId="114"/>
    <tableColumn id="13" xr3:uid="{B9BEDE08-DE6C-438D-9FE2-0453B1F97002}" name="12" dataDxfId="111" totalsRowDxfId="112"/>
    <tableColumn id="14" xr3:uid="{22ADB9EA-FCB4-4B37-9BBC-8CD3B5BD2AAB}" name="13" dataDxfId="109" totalsRowDxfId="110"/>
    <tableColumn id="15" xr3:uid="{AE260A24-FE81-460B-BC59-251DC3FA9C36}" name="14" dataDxfId="107" totalsRowDxfId="108"/>
    <tableColumn id="16" xr3:uid="{83AE52AF-527F-49CD-966B-A6CE9A33FA80}" name="15" dataDxfId="105" totalsRowDxfId="106"/>
    <tableColumn id="17" xr3:uid="{65C293DB-C60E-469A-9EF0-D85737ED1C89}" name="16" dataDxfId="103" totalsRowDxfId="104"/>
    <tableColumn id="18" xr3:uid="{431B22FE-E6C5-459F-9FC8-50C6D3E2A164}" name="17" dataDxfId="101" totalsRowDxfId="102"/>
    <tableColumn id="19" xr3:uid="{9C8F6C9D-CF56-42E9-892B-207AFF0489F5}" name="18" dataDxfId="99" totalsRowDxfId="100"/>
    <tableColumn id="20" xr3:uid="{02A8B610-7369-4307-8E07-9EEBDAEF4DE0}" name="19" dataDxfId="97" totalsRowDxfId="98"/>
    <tableColumn id="21" xr3:uid="{68C3BFD9-A513-43FB-85A7-28B1AE0A0867}" name="20" dataDxfId="95" totalsRowDxfId="96"/>
    <tableColumn id="22" xr3:uid="{A6DD5CBB-32AB-4712-A34E-5B6D7C8D53A3}" name="21" dataDxfId="93" totalsRowDxfId="94"/>
    <tableColumn id="23" xr3:uid="{D017FFCA-2983-4567-9453-088A7F5239C8}" name="22" dataDxfId="91" totalsRowDxfId="92"/>
    <tableColumn id="24" xr3:uid="{CF72F38F-ED67-4B01-BEE9-590FC6210306}" name="23" dataDxfId="89" totalsRowDxfId="90"/>
    <tableColumn id="25" xr3:uid="{6297C358-9AC2-4BC3-9533-38153E7CC57E}" name="24" dataDxfId="87" totalsRowDxfId="88"/>
    <tableColumn id="26" xr3:uid="{97D07911-B229-472A-AEB6-64A10D9F5D63}" name="25" dataDxfId="85" totalsRowDxfId="86"/>
    <tableColumn id="27" xr3:uid="{CAFCF09D-8448-48DA-97E1-A3708AB32DFF}" name="26" dataDxfId="83" totalsRowDxfId="84"/>
    <tableColumn id="28" xr3:uid="{CDCA5D20-CD08-4900-92C3-225647D0781C}" name="27" dataDxfId="81" totalsRowDxfId="82"/>
    <tableColumn id="29" xr3:uid="{D8012C0A-175A-482E-8C7D-8549FC05AE7C}" name="28" dataDxfId="79" totalsRowDxfId="80"/>
    <tableColumn id="30" xr3:uid="{78CFC39D-ECE0-4071-80ED-2EC31454D2B1}" name="29" dataDxfId="77" totalsRowDxfId="78"/>
    <tableColumn id="31" xr3:uid="{FA2825B3-F0B3-4AA3-A3CB-15A73C180FC5}" name="30" dataDxfId="75" totalsRowDxfId="76"/>
    <tableColumn id="32" xr3:uid="{E6DBE306-BC75-4540-9438-B584DAC217D4}" name=" " dataDxfId="73" totalsRowDxfId="74" dataCellStyle="Total"/>
    <tableColumn id="33" xr3:uid="{BD22B07C-3CD8-4EE2-BEFE-89BE2EF197E2}" name="Nombre de location" dataDxfId="71" totalsRowDxfId="72" dataCellStyle="Total">
      <calculatedColumnFormula>COUNTA(Novembre24[[#This Row],[1]:[ 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9961DD28-0192-47EB-A90E-27C499BC3168}" name="Décembre25" displayName="Décembre25" ref="B8:AH16" totalsRowShown="0" headerRowDxfId="68" dataDxfId="67" totalsRowDxfId="66">
  <tableColumns count="33">
    <tableColumn id="1" xr3:uid="{575C2358-047A-4792-BFAF-A4850362D369}" name="Materiel Comité" dataDxfId="64" totalsRowDxfId="65" dataCellStyle="Employé"/>
    <tableColumn id="2" xr3:uid="{253AE259-BAAB-4D6D-AF31-00AC82F14A03}" name="1" dataDxfId="62" totalsRowDxfId="63"/>
    <tableColumn id="3" xr3:uid="{8463F6A5-483F-487D-977B-92770AA327CD}" name="2" dataDxfId="60" totalsRowDxfId="61"/>
    <tableColumn id="4" xr3:uid="{B942288B-DD57-4934-8B20-36D30BFDB88C}" name="3" dataDxfId="58" totalsRowDxfId="59"/>
    <tableColumn id="5" xr3:uid="{9DE6B1A6-C1DB-42B8-861B-E9CD2EFE3A53}" name="4" dataDxfId="56" totalsRowDxfId="57"/>
    <tableColumn id="6" xr3:uid="{22854CDC-D3D3-445A-85EE-671D8FBC4743}" name="5" dataDxfId="54" totalsRowDxfId="55"/>
    <tableColumn id="7" xr3:uid="{5D388ADD-767E-4C5F-82EC-DB12BD473926}" name="6" dataDxfId="52" totalsRowDxfId="53"/>
    <tableColumn id="8" xr3:uid="{A549500A-E2E2-4E04-876C-E64A1E2084F1}" name="7" dataDxfId="50" totalsRowDxfId="51"/>
    <tableColumn id="9" xr3:uid="{EB846F7D-29A8-4CFC-9977-E0FF639C13AA}" name="8" dataDxfId="48" totalsRowDxfId="49"/>
    <tableColumn id="10" xr3:uid="{53F170BE-C935-437B-A4B7-5F3CCC889E8A}" name="9" dataDxfId="46" totalsRowDxfId="47"/>
    <tableColumn id="11" xr3:uid="{8A5279BA-B67A-4B0A-B916-CB77E0DEE0C7}" name="10" dataDxfId="44" totalsRowDxfId="45"/>
    <tableColumn id="12" xr3:uid="{314C8174-A751-4279-9BAA-84E5E13C9568}" name="11" dataDxfId="42" totalsRowDxfId="43"/>
    <tableColumn id="13" xr3:uid="{4E36E2F1-EFCF-402F-BF36-BD7666299DB9}" name="12" dataDxfId="40" totalsRowDxfId="41"/>
    <tableColumn id="14" xr3:uid="{35227FC2-B718-41E0-A5D3-5509AF305B76}" name="13" dataDxfId="38" totalsRowDxfId="39"/>
    <tableColumn id="15" xr3:uid="{B49FB92B-4EE4-459F-B457-D95E39F27121}" name="14" dataDxfId="36" totalsRowDxfId="37"/>
    <tableColumn id="16" xr3:uid="{99A9E1A2-5A9F-47D8-9902-3EB2D0B14D31}" name="15" dataDxfId="34" totalsRowDxfId="35"/>
    <tableColumn id="17" xr3:uid="{8870DC0E-3913-473C-83B9-0360516B56EA}" name="16" dataDxfId="32" totalsRowDxfId="33"/>
    <tableColumn id="18" xr3:uid="{17E8F1F2-BC2B-4D82-BA6E-0A336E6C973B}" name="17" dataDxfId="30" totalsRowDxfId="31"/>
    <tableColumn id="19" xr3:uid="{A43BD5D7-472F-4EA0-9781-4009DE83E52D}" name="18" dataDxfId="28" totalsRowDxfId="29"/>
    <tableColumn id="20" xr3:uid="{B2F31907-37E7-48C6-95A3-101FE62042B2}" name="19" dataDxfId="26" totalsRowDxfId="27"/>
    <tableColumn id="21" xr3:uid="{7218CD62-4040-481D-919F-F7D0FBEEA584}" name="20" dataDxfId="24" totalsRowDxfId="25"/>
    <tableColumn id="22" xr3:uid="{7E0A478D-3A43-4D52-AB91-24458F4D0A9C}" name="21" dataDxfId="22" totalsRowDxfId="23"/>
    <tableColumn id="23" xr3:uid="{4120B91A-DE0D-4209-B537-0A4E30D6F278}" name="22" dataDxfId="20" totalsRowDxfId="21"/>
    <tableColumn id="24" xr3:uid="{2862404A-718F-4C00-ACE9-FD785B313E0A}" name="23" dataDxfId="18" totalsRowDxfId="19"/>
    <tableColumn id="25" xr3:uid="{6FDDF39A-0D8C-4843-B5DC-97626B5B1948}" name="24" dataDxfId="16" totalsRowDxfId="17"/>
    <tableColumn id="26" xr3:uid="{569AAC06-E3CA-4DF1-8817-88870F59384F}" name="25" dataDxfId="14" totalsRowDxfId="15"/>
    <tableColumn id="27" xr3:uid="{EDE4EEF1-30AB-41CE-9494-04FE2A72CFF7}" name="26" dataDxfId="12" totalsRowDxfId="13"/>
    <tableColumn id="28" xr3:uid="{FBB7BDAC-E722-4D50-B271-537E86276E55}" name="27" dataDxfId="10" totalsRowDxfId="11"/>
    <tableColumn id="29" xr3:uid="{7E5F11D3-CD1D-41F1-A4A8-348766F59084}" name="28" dataDxfId="8" totalsRowDxfId="9"/>
    <tableColumn id="30" xr3:uid="{43603165-4A17-4BCF-B583-CAD97658DE88}" name="29" dataDxfId="6" totalsRowDxfId="7"/>
    <tableColumn id="31" xr3:uid="{52B99159-4448-4068-9D38-7C748B755F09}" name="30" dataDxfId="4" totalsRowDxfId="5"/>
    <tableColumn id="32" xr3:uid="{B911596E-6E2F-46C5-8534-2D796F85F2B4}" name="31" dataDxfId="2" totalsRowDxfId="3" dataCellStyle="Total"/>
    <tableColumn id="33" xr3:uid="{223EDE0F-C093-4477-9A9F-56A88E958ACB}" name="Nombre de location" dataDxfId="0" totalsRowDxfId="1" dataCellStyle="Total">
      <calculatedColumnFormula>COUNTA(Décembre25[[#This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Fournit une liste de noms et des dates de calendrier pour enregistrer les absences et motifs d’absence des employés (C= Congé, M=Maladie, P=Personnel, et deux espaces réservés pour des entrées personnalisées)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2000000}" name="Mars" displayName="Mars" ref="B8:AH16" totalsRowShown="0" headerRowDxfId="1573" dataDxfId="1572" totalsRowDxfId="1571">
  <tableColumns count="33">
    <tableColumn id="1" xr3:uid="{00000000-0010-0000-0200-000001000000}" name="Materiel Comité" dataDxfId="1569" totalsRowDxfId="1570" dataCellStyle="Employé"/>
    <tableColumn id="2" xr3:uid="{00000000-0010-0000-0200-000002000000}" name="1" dataDxfId="1567" totalsRowDxfId="1568"/>
    <tableColumn id="3" xr3:uid="{00000000-0010-0000-0200-000003000000}" name="2" dataDxfId="1565" totalsRowDxfId="1566"/>
    <tableColumn id="4" xr3:uid="{00000000-0010-0000-0200-000004000000}" name="3" dataDxfId="1563" totalsRowDxfId="1564"/>
    <tableColumn id="5" xr3:uid="{00000000-0010-0000-0200-000005000000}" name="4" dataDxfId="1561" totalsRowDxfId="1562"/>
    <tableColumn id="6" xr3:uid="{00000000-0010-0000-0200-000006000000}" name="5" dataDxfId="1559" totalsRowDxfId="1560"/>
    <tableColumn id="7" xr3:uid="{00000000-0010-0000-0200-000007000000}" name="6" dataDxfId="1557" totalsRowDxfId="1558"/>
    <tableColumn id="8" xr3:uid="{00000000-0010-0000-0200-000008000000}" name="7" dataDxfId="1555" totalsRowDxfId="1556"/>
    <tableColumn id="9" xr3:uid="{00000000-0010-0000-0200-000009000000}" name="8" dataDxfId="1553" totalsRowDxfId="1554"/>
    <tableColumn id="10" xr3:uid="{00000000-0010-0000-0200-00000A000000}" name="9" dataDxfId="1551" totalsRowDxfId="1552"/>
    <tableColumn id="11" xr3:uid="{00000000-0010-0000-0200-00000B000000}" name="10" dataDxfId="1549" totalsRowDxfId="1550"/>
    <tableColumn id="12" xr3:uid="{00000000-0010-0000-0200-00000C000000}" name="11" dataDxfId="1547" totalsRowDxfId="1548"/>
    <tableColumn id="13" xr3:uid="{00000000-0010-0000-0200-00000D000000}" name="12" dataDxfId="1545" totalsRowDxfId="1546"/>
    <tableColumn id="14" xr3:uid="{00000000-0010-0000-0200-00000E000000}" name="13" dataDxfId="1543" totalsRowDxfId="1544"/>
    <tableColumn id="15" xr3:uid="{00000000-0010-0000-0200-00000F000000}" name="14" dataDxfId="1541" totalsRowDxfId="1542"/>
    <tableColumn id="16" xr3:uid="{00000000-0010-0000-0200-000010000000}" name="15" dataDxfId="1539" totalsRowDxfId="1540"/>
    <tableColumn id="17" xr3:uid="{00000000-0010-0000-0200-000011000000}" name="16" dataDxfId="1537" totalsRowDxfId="1538"/>
    <tableColumn id="18" xr3:uid="{00000000-0010-0000-0200-000012000000}" name="17" dataDxfId="1535" totalsRowDxfId="1536"/>
    <tableColumn id="19" xr3:uid="{00000000-0010-0000-0200-000013000000}" name="18" dataDxfId="1533" totalsRowDxfId="1534"/>
    <tableColumn id="20" xr3:uid="{00000000-0010-0000-0200-000014000000}" name="19" dataDxfId="1531" totalsRowDxfId="1532"/>
    <tableColumn id="21" xr3:uid="{00000000-0010-0000-0200-000015000000}" name="20" dataDxfId="1529" totalsRowDxfId="1530"/>
    <tableColumn id="22" xr3:uid="{00000000-0010-0000-0200-000016000000}" name="21" dataDxfId="1527" totalsRowDxfId="1528"/>
    <tableColumn id="23" xr3:uid="{00000000-0010-0000-0200-000017000000}" name="22" dataDxfId="1525" totalsRowDxfId="1526"/>
    <tableColumn id="24" xr3:uid="{00000000-0010-0000-0200-000018000000}" name="23" dataDxfId="1523" totalsRowDxfId="1524"/>
    <tableColumn id="25" xr3:uid="{00000000-0010-0000-0200-000019000000}" name="24" dataDxfId="1521" totalsRowDxfId="1522"/>
    <tableColumn id="26" xr3:uid="{00000000-0010-0000-0200-00001A000000}" name="25" dataDxfId="1519" totalsRowDxfId="1520"/>
    <tableColumn id="27" xr3:uid="{00000000-0010-0000-0200-00001B000000}" name="26" dataDxfId="1517" totalsRowDxfId="1518"/>
    <tableColumn id="28" xr3:uid="{00000000-0010-0000-0200-00001C000000}" name="27" dataDxfId="1515" totalsRowDxfId="1516"/>
    <tableColumn id="29" xr3:uid="{00000000-0010-0000-0200-00001D000000}" name="28" dataDxfId="1513" totalsRowDxfId="1514"/>
    <tableColumn id="30" xr3:uid="{00000000-0010-0000-0200-00001E000000}" name="29" dataDxfId="1511" totalsRowDxfId="1512"/>
    <tableColumn id="31" xr3:uid="{00000000-0010-0000-0200-00001F000000}" name="30" dataDxfId="1509" totalsRowDxfId="1510"/>
    <tableColumn id="32" xr3:uid="{00000000-0010-0000-0200-000020000000}" name="31" dataDxfId="1507" totalsRowDxfId="1508" dataCellStyle="Total"/>
    <tableColumn id="33" xr3:uid="{00000000-0010-0000-0200-000021000000}" name="Nombre de location" dataDxfId="1505" totalsRowDxfId="1506" dataCellStyle="Total">
      <calculatedColumnFormula>COUNTA(Mars[[#This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0214BC2-F1A9-794B-922E-B532EC6BBFDF}" name="March5" displayName="March5" ref="B8:AH16" totalsRowShown="0" headerRowDxfId="1502" dataDxfId="1501" totalsRowDxfId="1500">
  <tableColumns count="33">
    <tableColumn id="1" xr3:uid="{5251F992-E710-C643-B160-C37BB2131D31}" name="Materiel Comité" dataDxfId="1498" totalsRowDxfId="1499" dataCellStyle="Employé"/>
    <tableColumn id="2" xr3:uid="{9AEC3AA3-9F0E-4B4E-A8ED-026BAE9C428F}" name="1" dataDxfId="1496" totalsRowDxfId="1497"/>
    <tableColumn id="3" xr3:uid="{55750F7A-05DD-CB41-95C5-BE1F874725AE}" name="2" dataDxfId="1494" totalsRowDxfId="1495"/>
    <tableColumn id="4" xr3:uid="{259912E4-C37B-5145-B99B-93F989E18A49}" name="3" dataDxfId="1492" totalsRowDxfId="1493"/>
    <tableColumn id="5" xr3:uid="{44743504-4BFF-3B46-87DE-A0AE5C8C9FC0}" name="4" dataDxfId="1490" totalsRowDxfId="1491"/>
    <tableColumn id="6" xr3:uid="{471BE969-F222-D642-8D1A-B386CCC29AB2}" name="5" dataDxfId="1488" totalsRowDxfId="1489"/>
    <tableColumn id="7" xr3:uid="{35FEC3F2-5280-D342-A070-AB9A3C3BCF0A}" name="6" dataDxfId="1486" totalsRowDxfId="1487"/>
    <tableColumn id="8" xr3:uid="{D4047C63-7046-5242-9483-0BC31BD18200}" name="7" dataDxfId="1484" totalsRowDxfId="1485"/>
    <tableColumn id="9" xr3:uid="{79A2B7D0-444A-5942-9296-2BD32E471C66}" name="8" dataDxfId="1482" totalsRowDxfId="1483"/>
    <tableColumn id="10" xr3:uid="{B46D113E-7D39-5A43-BAA4-11739C4AD0C2}" name="9" dataDxfId="1480" totalsRowDxfId="1481"/>
    <tableColumn id="11" xr3:uid="{977EC8E9-AEB6-3E40-BE79-A406D4D3444D}" name="10" dataDxfId="1478" totalsRowDxfId="1479"/>
    <tableColumn id="12" xr3:uid="{42883C66-F682-394E-8D72-6C0286CB27EA}" name="11" dataDxfId="1476" totalsRowDxfId="1477"/>
    <tableColumn id="13" xr3:uid="{9A10401F-4CF0-8641-BCEB-2237315C8881}" name="12" dataDxfId="1474" totalsRowDxfId="1475"/>
    <tableColumn id="14" xr3:uid="{9C8C4D04-BE8B-FB44-9666-B515D905B2D6}" name="13" dataDxfId="1472" totalsRowDxfId="1473"/>
    <tableColumn id="15" xr3:uid="{E996717D-17EC-B048-A561-2AD987D342D0}" name="14" dataDxfId="1470" totalsRowDxfId="1471"/>
    <tableColumn id="16" xr3:uid="{3BFEBF2B-F60F-A142-86F2-75C9DC96AFDB}" name="15" dataDxfId="1468" totalsRowDxfId="1469"/>
    <tableColumn id="17" xr3:uid="{0C97EF54-1361-BE43-8F7F-1BCE23E1AB5A}" name="16" dataDxfId="1466" totalsRowDxfId="1467"/>
    <tableColumn id="18" xr3:uid="{257791F4-E1CB-0642-BD3B-FB1B81C57DF1}" name="17" dataDxfId="1464" totalsRowDxfId="1465"/>
    <tableColumn id="19" xr3:uid="{BB7AB6EF-7B76-5946-B53A-22DB3EB1F3FC}" name="18" dataDxfId="1462" totalsRowDxfId="1463"/>
    <tableColumn id="20" xr3:uid="{85AEA6C3-1E60-234F-8E68-DD23536D850B}" name="19" dataDxfId="1460" totalsRowDxfId="1461"/>
    <tableColumn id="21" xr3:uid="{A73B9507-91D4-9B42-8C0E-1E0FB67905F8}" name="20" dataDxfId="1458" totalsRowDxfId="1459"/>
    <tableColumn id="22" xr3:uid="{5C7BDCBF-0A5A-4549-B80B-C8343893EAF7}" name="21" dataDxfId="1456" totalsRowDxfId="1457"/>
    <tableColumn id="23" xr3:uid="{EC439ECF-E0C6-5D41-9DA2-07E3E82FF691}" name="22" dataDxfId="1454" totalsRowDxfId="1455"/>
    <tableColumn id="24" xr3:uid="{97854A72-AEC9-604B-B1D4-06EC15436469}" name="23" dataDxfId="1452" totalsRowDxfId="1453"/>
    <tableColumn id="25" xr3:uid="{F701FD79-E584-DF4B-83E9-A152532FDD15}" name="24" dataDxfId="1450" totalsRowDxfId="1451"/>
    <tableColumn id="26" xr3:uid="{C662F6C1-F102-5942-8719-E32AD8792020}" name="25" dataDxfId="1448" totalsRowDxfId="1449"/>
    <tableColumn id="27" xr3:uid="{50B9E2E5-9F39-0F45-AE9B-4555A77D295D}" name="26" dataDxfId="1446" totalsRowDxfId="1447"/>
    <tableColumn id="28" xr3:uid="{3E4AF3CF-CB70-0842-B373-83CF59CBDA1D}" name="27" dataDxfId="1444" totalsRowDxfId="1445"/>
    <tableColumn id="29" xr3:uid="{C5FCD875-31A1-4B41-AAF6-09E535D80C81}" name="28" dataDxfId="1442" totalsRowDxfId="1443"/>
    <tableColumn id="30" xr3:uid="{84F06E67-080B-CA42-8EEC-59690B041A03}" name="29" dataDxfId="1440" totalsRowDxfId="1441"/>
    <tableColumn id="31" xr3:uid="{284765D5-58F9-F440-84EA-ACE449176ACA}" name="30" dataDxfId="1438" totalsRowDxfId="1439"/>
    <tableColumn id="32" xr3:uid="{9C77C5AD-4E19-B843-B9BE-2909F268D667}" name=" " dataDxfId="1436" totalsRowDxfId="1437" dataCellStyle="Total"/>
    <tableColumn id="33" xr3:uid="{0DA7656D-8525-2046-AEDA-1F40E411BD0D}" name="Nombre de location" dataDxfId="1434" totalsRowDxfId="1435" dataCellStyle="Total">
      <calculatedColumnFormula>COUNTA(March5[[#This Row],[1]:[ 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E83FD69-EC79-6B43-9728-DBC90C3FDC77}" name="March58" displayName="March58" ref="B8:AH16" totalsRowShown="0" headerRowDxfId="1431" dataDxfId="1430" totalsRowDxfId="1429">
  <tableColumns count="33">
    <tableColumn id="1" xr3:uid="{5910D0B6-76A8-1646-97A8-4AE2D1756125}" name="Materiel Comité" dataDxfId="1427" totalsRowDxfId="1428" dataCellStyle="Employé"/>
    <tableColumn id="2" xr3:uid="{69C27970-12EA-0E42-AF5F-351BA83FD215}" name="1" dataDxfId="1425" totalsRowDxfId="1426"/>
    <tableColumn id="3" xr3:uid="{2DB67051-6E13-964F-86B0-B00AA9A5BFAF}" name="2" dataDxfId="1423" totalsRowDxfId="1424"/>
    <tableColumn id="4" xr3:uid="{CF201FDD-65B9-BE4B-BE51-45EFCA258036}" name="3" dataDxfId="1421" totalsRowDxfId="1422"/>
    <tableColumn id="5" xr3:uid="{E03823B4-0CCA-7D47-BCFD-4BB07A97D88C}" name="4" dataDxfId="1419" totalsRowDxfId="1420"/>
    <tableColumn id="6" xr3:uid="{5F39FD90-2520-0847-B186-6CA5B07A072F}" name="5" dataDxfId="1417" totalsRowDxfId="1418"/>
    <tableColumn id="7" xr3:uid="{D7992C25-6255-D54A-8B77-C3032B2914E8}" name="6" dataDxfId="1415" totalsRowDxfId="1416"/>
    <tableColumn id="8" xr3:uid="{161AB8A2-4451-FA40-9408-833AFFC6D7CD}" name="7" dataDxfId="1413" totalsRowDxfId="1414"/>
    <tableColumn id="9" xr3:uid="{82432B13-145C-AC4E-A84F-0C211DED3AEE}" name="8" dataDxfId="1411" totalsRowDxfId="1412"/>
    <tableColumn id="10" xr3:uid="{994E3A00-A93E-8A4C-A93F-5DF73DB59AA5}" name="9" dataDxfId="1409" totalsRowDxfId="1410"/>
    <tableColumn id="11" xr3:uid="{ADA642AC-6B5D-4749-B631-64A63466A02A}" name="10" dataDxfId="1407" totalsRowDxfId="1408"/>
    <tableColumn id="12" xr3:uid="{E1D9D052-9150-4B4A-873C-04B0C9F0EAA0}" name="11" dataDxfId="1405" totalsRowDxfId="1406"/>
    <tableColumn id="13" xr3:uid="{7804DD46-EEB3-7047-A68F-A81094B2F0E0}" name="12" dataDxfId="1403" totalsRowDxfId="1404"/>
    <tableColumn id="14" xr3:uid="{39F98B96-5BF4-7747-A3D2-F58049C2C331}" name="13" dataDxfId="1401" totalsRowDxfId="1402"/>
    <tableColumn id="15" xr3:uid="{8908FF7E-1791-CA41-8CF3-4A9F971974C3}" name="14" dataDxfId="1399" totalsRowDxfId="1400"/>
    <tableColumn id="16" xr3:uid="{773FDBBE-AB42-A546-8329-8BDAEF4D06C4}" name="15" dataDxfId="1397" totalsRowDxfId="1398"/>
    <tableColumn id="17" xr3:uid="{01EE92EC-B490-AF40-BDB2-290F1B1C3C58}" name="16" dataDxfId="1395" totalsRowDxfId="1396"/>
    <tableColumn id="18" xr3:uid="{DF22A54C-2BE2-1340-BC66-FDDF323ABBE0}" name="17" dataDxfId="1393" totalsRowDxfId="1394"/>
    <tableColumn id="19" xr3:uid="{BB1CDCA3-E15B-8D4E-ABE5-0D5BE02A950E}" name="18" dataDxfId="1391" totalsRowDxfId="1392"/>
    <tableColumn id="20" xr3:uid="{4D5E657B-D9D2-8C4A-A4EB-E29B4B8BCF70}" name="19" dataDxfId="1389" totalsRowDxfId="1390"/>
    <tableColumn id="21" xr3:uid="{B5D1019E-86BD-A146-A976-653D87FAC02B}" name="20" dataDxfId="1387" totalsRowDxfId="1388"/>
    <tableColumn id="22" xr3:uid="{D1F7F5A1-B363-AC44-9332-4BA33D6CCEA8}" name="21" dataDxfId="1385" totalsRowDxfId="1386"/>
    <tableColumn id="23" xr3:uid="{0EEDA366-AE45-0947-A354-D1B1BEB67F28}" name="22" dataDxfId="1383" totalsRowDxfId="1384"/>
    <tableColumn id="24" xr3:uid="{8DB56569-FE6B-4249-B364-D76AC1D9BE79}" name="23" dataDxfId="1381" totalsRowDxfId="1382"/>
    <tableColumn id="25" xr3:uid="{5BECBC0C-925A-8245-AD6D-847781A68957}" name="24" dataDxfId="1379" totalsRowDxfId="1380"/>
    <tableColumn id="26" xr3:uid="{7D745BDB-6C53-8B4B-BA72-5FBDCB5D9CCC}" name="25" dataDxfId="1377" totalsRowDxfId="1378"/>
    <tableColumn id="27" xr3:uid="{FA6FFB4C-5E6D-DA4E-8F87-EEC900B26695}" name="26" dataDxfId="1375" totalsRowDxfId="1376"/>
    <tableColumn id="28" xr3:uid="{A50BDA94-D72B-C043-A8B2-E1E178EA827F}" name="27" dataDxfId="1373" totalsRowDxfId="1374"/>
    <tableColumn id="29" xr3:uid="{D68B12D0-F485-FF42-B2E6-30EC0E2C418D}" name="28" dataDxfId="1371" totalsRowDxfId="1372"/>
    <tableColumn id="30" xr3:uid="{695C2584-A6A5-D742-A768-02D19E90DEBC}" name="29" dataDxfId="1369" totalsRowDxfId="1370"/>
    <tableColumn id="31" xr3:uid="{0B002160-8CE9-4B4E-A7A4-CFE8C54F8781}" name="30" dataDxfId="1367" totalsRowDxfId="1368"/>
    <tableColumn id="32" xr3:uid="{9A241B27-F77F-9E49-9678-7978D0423F17}" name="31" dataDxfId="1365" totalsRowDxfId="1366" dataCellStyle="Total"/>
    <tableColumn id="33" xr3:uid="{C85EB010-29D3-FD4A-9882-B705BDC3D2EF}" name="Nombre de location" dataDxfId="1363" totalsRowDxfId="1364" dataCellStyle="Total">
      <calculatedColumnFormula>COUNTA(March58[[#This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5000000}" name="Juin" displayName="Juin" ref="B8:AH16" totalsRowShown="0" headerRowDxfId="1360" dataDxfId="1359" totalsRowDxfId="1358">
  <tableColumns count="33">
    <tableColumn id="1" xr3:uid="{00000000-0010-0000-0500-000001000000}" name="Materiel Comité" dataDxfId="1356" totalsRowDxfId="1357" dataCellStyle="Employé"/>
    <tableColumn id="2" xr3:uid="{00000000-0010-0000-0500-000002000000}" name="1" dataDxfId="1354" totalsRowDxfId="1355"/>
    <tableColumn id="3" xr3:uid="{00000000-0010-0000-0500-000003000000}" name="2" dataDxfId="1352" totalsRowDxfId="1353"/>
    <tableColumn id="4" xr3:uid="{00000000-0010-0000-0500-000004000000}" name="3" dataDxfId="1350" totalsRowDxfId="1351"/>
    <tableColumn id="5" xr3:uid="{00000000-0010-0000-0500-000005000000}" name="4" dataDxfId="1348" totalsRowDxfId="1349"/>
    <tableColumn id="6" xr3:uid="{00000000-0010-0000-0500-000006000000}" name="5" dataDxfId="1346" totalsRowDxfId="1347"/>
    <tableColumn id="7" xr3:uid="{00000000-0010-0000-0500-000007000000}" name="6" dataDxfId="1344" totalsRowDxfId="1345"/>
    <tableColumn id="8" xr3:uid="{00000000-0010-0000-0500-000008000000}" name="7" dataDxfId="1342" totalsRowDxfId="1343"/>
    <tableColumn id="9" xr3:uid="{00000000-0010-0000-0500-000009000000}" name="8" dataDxfId="1340" totalsRowDxfId="1341"/>
    <tableColumn id="10" xr3:uid="{00000000-0010-0000-0500-00000A000000}" name="9" dataDxfId="1338" totalsRowDxfId="1339"/>
    <tableColumn id="11" xr3:uid="{00000000-0010-0000-0500-00000B000000}" name="10" dataDxfId="1336" totalsRowDxfId="1337"/>
    <tableColumn id="12" xr3:uid="{00000000-0010-0000-0500-00000C000000}" name="11" dataDxfId="1334" totalsRowDxfId="1335"/>
    <tableColumn id="13" xr3:uid="{00000000-0010-0000-0500-00000D000000}" name="12" dataDxfId="1332" totalsRowDxfId="1333"/>
    <tableColumn id="14" xr3:uid="{00000000-0010-0000-0500-00000E000000}" name="13" dataDxfId="1330" totalsRowDxfId="1331"/>
    <tableColumn id="15" xr3:uid="{00000000-0010-0000-0500-00000F000000}" name="14" dataDxfId="1328" totalsRowDxfId="1329"/>
    <tableColumn id="16" xr3:uid="{00000000-0010-0000-0500-000010000000}" name="15" dataDxfId="1326" totalsRowDxfId="1327"/>
    <tableColumn id="17" xr3:uid="{00000000-0010-0000-0500-000011000000}" name="16" dataDxfId="1324" totalsRowDxfId="1325"/>
    <tableColumn id="18" xr3:uid="{00000000-0010-0000-0500-000012000000}" name="17" dataDxfId="1322" totalsRowDxfId="1323"/>
    <tableColumn id="19" xr3:uid="{00000000-0010-0000-0500-000013000000}" name="18" dataDxfId="1320" totalsRowDxfId="1321"/>
    <tableColumn id="20" xr3:uid="{00000000-0010-0000-0500-000014000000}" name="19" dataDxfId="1318" totalsRowDxfId="1319"/>
    <tableColumn id="21" xr3:uid="{00000000-0010-0000-0500-000015000000}" name="20" dataDxfId="1316" totalsRowDxfId="1317"/>
    <tableColumn id="22" xr3:uid="{00000000-0010-0000-0500-000016000000}" name="21" dataDxfId="1314" totalsRowDxfId="1315"/>
    <tableColumn id="23" xr3:uid="{00000000-0010-0000-0500-000017000000}" name="22" dataDxfId="1312" totalsRowDxfId="1313"/>
    <tableColumn id="24" xr3:uid="{00000000-0010-0000-0500-000018000000}" name="23" dataDxfId="1310" totalsRowDxfId="1311"/>
    <tableColumn id="25" xr3:uid="{00000000-0010-0000-0500-000019000000}" name="24" dataDxfId="1308" totalsRowDxfId="1309"/>
    <tableColumn id="26" xr3:uid="{00000000-0010-0000-0500-00001A000000}" name="25" dataDxfId="1306" totalsRowDxfId="1307"/>
    <tableColumn id="27" xr3:uid="{00000000-0010-0000-0500-00001B000000}" name="26" dataDxfId="1304" totalsRowDxfId="1305"/>
    <tableColumn id="28" xr3:uid="{00000000-0010-0000-0500-00001C000000}" name="27" dataDxfId="1302" totalsRowDxfId="1303"/>
    <tableColumn id="29" xr3:uid="{00000000-0010-0000-0500-00001D000000}" name="28" dataDxfId="1300" totalsRowDxfId="1301"/>
    <tableColumn id="30" xr3:uid="{00000000-0010-0000-0500-00001E000000}" name="29" dataDxfId="1298" totalsRowDxfId="1299"/>
    <tableColumn id="31" xr3:uid="{00000000-0010-0000-0500-00001F000000}" name="30" dataDxfId="1296" totalsRowDxfId="1297"/>
    <tableColumn id="32" xr3:uid="{00000000-0010-0000-0500-000020000000}" name=" " dataDxfId="1294" totalsRowDxfId="1295" dataCellStyle="Total"/>
    <tableColumn id="33" xr3:uid="{00000000-0010-0000-0500-000021000000}" name="Nombre de location" dataDxfId="1292" totalsRowDxfId="1293" dataCellStyle="Total">
      <calculatedColumnFormula>COUNTA(Juin[[#This Row],[1]:[ 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6000000}" name="Juillet" displayName="Juillet" ref="B8:AH16" totalsRowShown="0" headerRowDxfId="1289" dataDxfId="1288" totalsRowDxfId="1287">
  <tableColumns count="33">
    <tableColumn id="1" xr3:uid="{00000000-0010-0000-0600-000001000000}" name="Materiel Comité" dataDxfId="1285" totalsRowDxfId="1286" dataCellStyle="Employé"/>
    <tableColumn id="2" xr3:uid="{00000000-0010-0000-0600-000002000000}" name="1" dataDxfId="1283" totalsRowDxfId="1284"/>
    <tableColumn id="3" xr3:uid="{00000000-0010-0000-0600-000003000000}" name="2" dataDxfId="1281" totalsRowDxfId="1282"/>
    <tableColumn id="4" xr3:uid="{00000000-0010-0000-0600-000004000000}" name="3" dataDxfId="1279" totalsRowDxfId="1280"/>
    <tableColumn id="5" xr3:uid="{00000000-0010-0000-0600-000005000000}" name="4" dataDxfId="1277" totalsRowDxfId="1278"/>
    <tableColumn id="6" xr3:uid="{00000000-0010-0000-0600-000006000000}" name="5" dataDxfId="1275" totalsRowDxfId="1276"/>
    <tableColumn id="7" xr3:uid="{00000000-0010-0000-0600-000007000000}" name="6" dataDxfId="1273" totalsRowDxfId="1274"/>
    <tableColumn id="8" xr3:uid="{00000000-0010-0000-0600-000008000000}" name="7" dataDxfId="1271" totalsRowDxfId="1272"/>
    <tableColumn id="9" xr3:uid="{00000000-0010-0000-0600-000009000000}" name="8" dataDxfId="1269" totalsRowDxfId="1270"/>
    <tableColumn id="10" xr3:uid="{00000000-0010-0000-0600-00000A000000}" name="9" dataDxfId="1267" totalsRowDxfId="1268"/>
    <tableColumn id="11" xr3:uid="{00000000-0010-0000-0600-00000B000000}" name="10" dataDxfId="1265" totalsRowDxfId="1266"/>
    <tableColumn id="12" xr3:uid="{00000000-0010-0000-0600-00000C000000}" name="11" dataDxfId="1263" totalsRowDxfId="1264"/>
    <tableColumn id="13" xr3:uid="{00000000-0010-0000-0600-00000D000000}" name="12" dataDxfId="1261" totalsRowDxfId="1262"/>
    <tableColumn id="14" xr3:uid="{00000000-0010-0000-0600-00000E000000}" name="13" dataDxfId="1259" totalsRowDxfId="1260"/>
    <tableColumn id="15" xr3:uid="{00000000-0010-0000-0600-00000F000000}" name="14" dataDxfId="1257" totalsRowDxfId="1258"/>
    <tableColumn id="16" xr3:uid="{00000000-0010-0000-0600-000010000000}" name="15" dataDxfId="1255" totalsRowDxfId="1256"/>
    <tableColumn id="17" xr3:uid="{00000000-0010-0000-0600-000011000000}" name="16" dataDxfId="1253" totalsRowDxfId="1254"/>
    <tableColumn id="18" xr3:uid="{00000000-0010-0000-0600-000012000000}" name="17" dataDxfId="1251" totalsRowDxfId="1252"/>
    <tableColumn id="19" xr3:uid="{00000000-0010-0000-0600-000013000000}" name="18" dataDxfId="1249" totalsRowDxfId="1250"/>
    <tableColumn id="20" xr3:uid="{00000000-0010-0000-0600-000014000000}" name="19" dataDxfId="1247" totalsRowDxfId="1248"/>
    <tableColumn id="21" xr3:uid="{00000000-0010-0000-0600-000015000000}" name="20" dataDxfId="1245" totalsRowDxfId="1246"/>
    <tableColumn id="22" xr3:uid="{00000000-0010-0000-0600-000016000000}" name="21" dataDxfId="1243" totalsRowDxfId="1244"/>
    <tableColumn id="23" xr3:uid="{00000000-0010-0000-0600-000017000000}" name="22" dataDxfId="1241" totalsRowDxfId="1242"/>
    <tableColumn id="24" xr3:uid="{00000000-0010-0000-0600-000018000000}" name="23" dataDxfId="1239" totalsRowDxfId="1240"/>
    <tableColumn id="25" xr3:uid="{00000000-0010-0000-0600-000019000000}" name="24" dataDxfId="1237" totalsRowDxfId="1238"/>
    <tableColumn id="26" xr3:uid="{00000000-0010-0000-0600-00001A000000}" name="25" dataDxfId="1235" totalsRowDxfId="1236"/>
    <tableColumn id="27" xr3:uid="{00000000-0010-0000-0600-00001B000000}" name="26" dataDxfId="1233" totalsRowDxfId="1234"/>
    <tableColumn id="28" xr3:uid="{00000000-0010-0000-0600-00001C000000}" name="27" dataDxfId="1231" totalsRowDxfId="1232"/>
    <tableColumn id="29" xr3:uid="{00000000-0010-0000-0600-00001D000000}" name="28" dataDxfId="1229" totalsRowDxfId="1230"/>
    <tableColumn id="30" xr3:uid="{00000000-0010-0000-0600-00001E000000}" name="29" dataDxfId="1227" totalsRowDxfId="1228"/>
    <tableColumn id="31" xr3:uid="{00000000-0010-0000-0600-00001F000000}" name="30" dataDxfId="1225" totalsRowDxfId="1226"/>
    <tableColumn id="32" xr3:uid="{00000000-0010-0000-0600-000020000000}" name="31" dataDxfId="1223" totalsRowDxfId="1224" dataCellStyle="Total"/>
    <tableColumn id="33" xr3:uid="{00000000-0010-0000-0600-000021000000}" name="Nombre de location" dataDxfId="1221" totalsRowDxfId="1222" dataCellStyle="Total">
      <calculatedColumnFormula>COUNTA(Juillet[[#This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7000000}" name="Août" displayName="Août" ref="B8:AH16" totalsRowShown="0" headerRowDxfId="1218" dataDxfId="1217" totalsRowDxfId="1216">
  <tableColumns count="33">
    <tableColumn id="1" xr3:uid="{00000000-0010-0000-0700-000001000000}" name="Materiel Comité" dataDxfId="1214" totalsRowDxfId="1215" dataCellStyle="Employé"/>
    <tableColumn id="2" xr3:uid="{00000000-0010-0000-0700-000002000000}" name="1" dataDxfId="1212" totalsRowDxfId="1213"/>
    <tableColumn id="3" xr3:uid="{00000000-0010-0000-0700-000003000000}" name="2" dataDxfId="1210" totalsRowDxfId="1211"/>
    <tableColumn id="4" xr3:uid="{00000000-0010-0000-0700-000004000000}" name="3" dataDxfId="1208" totalsRowDxfId="1209"/>
    <tableColumn id="5" xr3:uid="{00000000-0010-0000-0700-000005000000}" name="4" dataDxfId="1206" totalsRowDxfId="1207"/>
    <tableColumn id="6" xr3:uid="{00000000-0010-0000-0700-000006000000}" name="5" dataDxfId="1204" totalsRowDxfId="1205"/>
    <tableColumn id="7" xr3:uid="{00000000-0010-0000-0700-000007000000}" name="6" dataDxfId="1202" totalsRowDxfId="1203"/>
    <tableColumn id="8" xr3:uid="{00000000-0010-0000-0700-000008000000}" name="7" dataDxfId="1200" totalsRowDxfId="1201"/>
    <tableColumn id="9" xr3:uid="{00000000-0010-0000-0700-000009000000}" name="8" dataDxfId="1198" totalsRowDxfId="1199"/>
    <tableColumn id="10" xr3:uid="{00000000-0010-0000-0700-00000A000000}" name="9" dataDxfId="1196" totalsRowDxfId="1197"/>
    <tableColumn id="11" xr3:uid="{00000000-0010-0000-0700-00000B000000}" name="10" dataDxfId="1194" totalsRowDxfId="1195"/>
    <tableColumn id="12" xr3:uid="{00000000-0010-0000-0700-00000C000000}" name="11" dataDxfId="1192" totalsRowDxfId="1193"/>
    <tableColumn id="13" xr3:uid="{00000000-0010-0000-0700-00000D000000}" name="12" dataDxfId="1190" totalsRowDxfId="1191"/>
    <tableColumn id="14" xr3:uid="{00000000-0010-0000-0700-00000E000000}" name="13" dataDxfId="1188" totalsRowDxfId="1189"/>
    <tableColumn id="15" xr3:uid="{00000000-0010-0000-0700-00000F000000}" name="14" dataDxfId="1186" totalsRowDxfId="1187"/>
    <tableColumn id="16" xr3:uid="{00000000-0010-0000-0700-000010000000}" name="15" dataDxfId="1184" totalsRowDxfId="1185"/>
    <tableColumn id="17" xr3:uid="{00000000-0010-0000-0700-000011000000}" name="16" dataDxfId="1182" totalsRowDxfId="1183"/>
    <tableColumn id="18" xr3:uid="{00000000-0010-0000-0700-000012000000}" name="17" dataDxfId="1180" totalsRowDxfId="1181"/>
    <tableColumn id="19" xr3:uid="{00000000-0010-0000-0700-000013000000}" name="18" dataDxfId="1178" totalsRowDxfId="1179"/>
    <tableColumn id="20" xr3:uid="{00000000-0010-0000-0700-000014000000}" name="19" dataDxfId="1176" totalsRowDxfId="1177"/>
    <tableColumn id="21" xr3:uid="{00000000-0010-0000-0700-000015000000}" name="20" dataDxfId="1174" totalsRowDxfId="1175"/>
    <tableColumn id="22" xr3:uid="{00000000-0010-0000-0700-000016000000}" name="21" dataDxfId="1172" totalsRowDxfId="1173"/>
    <tableColumn id="23" xr3:uid="{00000000-0010-0000-0700-000017000000}" name="22" dataDxfId="1170" totalsRowDxfId="1171"/>
    <tableColumn id="24" xr3:uid="{00000000-0010-0000-0700-000018000000}" name="23" dataDxfId="1168" totalsRowDxfId="1169"/>
    <tableColumn id="25" xr3:uid="{00000000-0010-0000-0700-000019000000}" name="24" dataDxfId="1166" totalsRowDxfId="1167"/>
    <tableColumn id="26" xr3:uid="{00000000-0010-0000-0700-00001A000000}" name="25" dataDxfId="1164" totalsRowDxfId="1165"/>
    <tableColumn id="27" xr3:uid="{00000000-0010-0000-0700-00001B000000}" name="26" dataDxfId="1162" totalsRowDxfId="1163"/>
    <tableColumn id="28" xr3:uid="{00000000-0010-0000-0700-00001C000000}" name="27" dataDxfId="1160" totalsRowDxfId="1161"/>
    <tableColumn id="29" xr3:uid="{00000000-0010-0000-0700-00001D000000}" name="28" dataDxfId="1158" totalsRowDxfId="1159"/>
    <tableColumn id="30" xr3:uid="{00000000-0010-0000-0700-00001E000000}" name="29" dataDxfId="1156" totalsRowDxfId="1157"/>
    <tableColumn id="31" xr3:uid="{00000000-0010-0000-0700-00001F000000}" name="30" dataDxfId="1154" totalsRowDxfId="1155"/>
    <tableColumn id="32" xr3:uid="{00000000-0010-0000-0700-000020000000}" name="31" dataDxfId="1152" totalsRowDxfId="1153" dataCellStyle="Total"/>
    <tableColumn id="33" xr3:uid="{00000000-0010-0000-0700-000021000000}" name="Nombre de location" dataDxfId="1150" totalsRowDxfId="1151" dataCellStyle="Total">
      <calculatedColumnFormula>COUNTA(Août[[#This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8000000}" name="Septembre" displayName="Septembre" ref="B8:AH16" totalsRowShown="0" headerRowDxfId="1147" dataDxfId="1146" totalsRowDxfId="1145">
  <tableColumns count="33">
    <tableColumn id="1" xr3:uid="{00000000-0010-0000-0800-000001000000}" name="Materiel Comité" dataDxfId="1143" totalsRowDxfId="1144" dataCellStyle="Employé"/>
    <tableColumn id="2" xr3:uid="{00000000-0010-0000-0800-000002000000}" name="1" dataDxfId="1141" totalsRowDxfId="1142"/>
    <tableColumn id="3" xr3:uid="{00000000-0010-0000-0800-000003000000}" name="2" dataDxfId="1139" totalsRowDxfId="1140"/>
    <tableColumn id="4" xr3:uid="{00000000-0010-0000-0800-000004000000}" name="3" dataDxfId="1137" totalsRowDxfId="1138"/>
    <tableColumn id="5" xr3:uid="{00000000-0010-0000-0800-000005000000}" name="4" dataDxfId="1135" totalsRowDxfId="1136"/>
    <tableColumn id="6" xr3:uid="{00000000-0010-0000-0800-000006000000}" name="5" dataDxfId="1133" totalsRowDxfId="1134"/>
    <tableColumn id="7" xr3:uid="{00000000-0010-0000-0800-000007000000}" name="6" dataDxfId="1131" totalsRowDxfId="1132"/>
    <tableColumn id="8" xr3:uid="{00000000-0010-0000-0800-000008000000}" name="7" dataDxfId="1129" totalsRowDxfId="1130"/>
    <tableColumn id="9" xr3:uid="{00000000-0010-0000-0800-000009000000}" name="8" dataDxfId="1127" totalsRowDxfId="1128"/>
    <tableColumn id="10" xr3:uid="{00000000-0010-0000-0800-00000A000000}" name="9" dataDxfId="1125" totalsRowDxfId="1126"/>
    <tableColumn id="11" xr3:uid="{00000000-0010-0000-0800-00000B000000}" name="10" dataDxfId="1123" totalsRowDxfId="1124"/>
    <tableColumn id="12" xr3:uid="{00000000-0010-0000-0800-00000C000000}" name="11" dataDxfId="1121" totalsRowDxfId="1122"/>
    <tableColumn id="13" xr3:uid="{00000000-0010-0000-0800-00000D000000}" name="12" dataDxfId="1119" totalsRowDxfId="1120"/>
    <tableColumn id="14" xr3:uid="{00000000-0010-0000-0800-00000E000000}" name="13" dataDxfId="1117" totalsRowDxfId="1118"/>
    <tableColumn id="15" xr3:uid="{00000000-0010-0000-0800-00000F000000}" name="14" dataDxfId="1115" totalsRowDxfId="1116"/>
    <tableColumn id="16" xr3:uid="{00000000-0010-0000-0800-000010000000}" name="15" dataDxfId="1113" totalsRowDxfId="1114"/>
    <tableColumn id="17" xr3:uid="{00000000-0010-0000-0800-000011000000}" name="16" dataDxfId="1111" totalsRowDxfId="1112"/>
    <tableColumn id="18" xr3:uid="{00000000-0010-0000-0800-000012000000}" name="17" dataDxfId="1109" totalsRowDxfId="1110"/>
    <tableColumn id="19" xr3:uid="{00000000-0010-0000-0800-000013000000}" name="18" dataDxfId="1107" totalsRowDxfId="1108"/>
    <tableColumn id="20" xr3:uid="{00000000-0010-0000-0800-000014000000}" name="19" dataDxfId="1105" totalsRowDxfId="1106"/>
    <tableColumn id="21" xr3:uid="{00000000-0010-0000-0800-000015000000}" name="20" dataDxfId="1103" totalsRowDxfId="1104"/>
    <tableColumn id="22" xr3:uid="{00000000-0010-0000-0800-000016000000}" name="21" dataDxfId="1101" totalsRowDxfId="1102"/>
    <tableColumn id="23" xr3:uid="{00000000-0010-0000-0800-000017000000}" name="22" dataDxfId="1099" totalsRowDxfId="1100"/>
    <tableColumn id="24" xr3:uid="{00000000-0010-0000-0800-000018000000}" name="23" dataDxfId="1097" totalsRowDxfId="1098"/>
    <tableColumn id="25" xr3:uid="{00000000-0010-0000-0800-000019000000}" name="24" dataDxfId="1095" totalsRowDxfId="1096"/>
    <tableColumn id="26" xr3:uid="{00000000-0010-0000-0800-00001A000000}" name="25" dataDxfId="1093" totalsRowDxfId="1094"/>
    <tableColumn id="27" xr3:uid="{00000000-0010-0000-0800-00001B000000}" name="26" dataDxfId="1091" totalsRowDxfId="1092"/>
    <tableColumn id="28" xr3:uid="{00000000-0010-0000-0800-00001C000000}" name="27" dataDxfId="1089" totalsRowDxfId="1090"/>
    <tableColumn id="29" xr3:uid="{00000000-0010-0000-0800-00001D000000}" name="28" dataDxfId="1087" totalsRowDxfId="1088"/>
    <tableColumn id="30" xr3:uid="{00000000-0010-0000-0800-00001E000000}" name="29" dataDxfId="1085" totalsRowDxfId="1086"/>
    <tableColumn id="31" xr3:uid="{00000000-0010-0000-0800-00001F000000}" name="30" dataDxfId="1083" totalsRowDxfId="1084"/>
    <tableColumn id="32" xr3:uid="{00000000-0010-0000-0800-000020000000}" name=" " dataDxfId="1081" totalsRowDxfId="1082" dataCellStyle="Total"/>
    <tableColumn id="33" xr3:uid="{00000000-0010-0000-0800-000021000000}" name="Nombre de location" dataDxfId="1079" totalsRowDxfId="1080" dataCellStyle="Total">
      <calculatedColumnFormula>COUNTA(Septembre[[#This Row],[1]:[ 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heme/theme1.xml><?xml version="1.0" encoding="utf-8"?>
<a:theme xmlns:a="http://schemas.openxmlformats.org/drawingml/2006/main" name="Office Theme">
  <a:themeElements>
    <a:clrScheme name="TM03987167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1F452F"/>
      </a:accent1>
      <a:accent2>
        <a:srgbClr val="709A97"/>
      </a:accent2>
      <a:accent3>
        <a:srgbClr val="1B417C"/>
      </a:accent3>
      <a:accent4>
        <a:srgbClr val="D8A141"/>
      </a:accent4>
      <a:accent5>
        <a:srgbClr val="CAAFF3"/>
      </a:accent5>
      <a:accent6>
        <a:srgbClr val="EF5C37"/>
      </a:accent6>
      <a:hlink>
        <a:srgbClr val="0563C1"/>
      </a:hlink>
      <a:folHlink>
        <a:srgbClr val="954F72"/>
      </a:folHlink>
    </a:clrScheme>
    <a:fontScheme name="Employee Absence Schedule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O9" dT="2025-05-19T13:38:28.05" personId="{00000000-0000-0000-0000-000000000000}" id="{04D2F831-FD44-4E77-AC4E-9D8EED7215BB}">
    <text xml:space="preserve">Mairie Voisins </text>
  </threadedComment>
  <threadedComment ref="Y10" dT="2025-05-14T10:12:50.14" personId="{00000000-0000-0000-0000-000000000000}" id="{644F4D3A-1BB5-4313-A24D-1492D82FA017}">
    <text>Triel</text>
  </threadedComment>
  <threadedComment ref="AG11" dT="2025-05-14T13:07:57.22" personId="{00000000-0000-0000-0000-000000000000}" id="{57C4D6A7-2D44-467D-B773-9B0FE904743F}">
    <text>ARB</text>
  </threadedComment>
  <threadedComment ref="AG13" dT="2025-05-14T13:08:03.10" personId="{00000000-0000-0000-0000-000000000000}" id="{53045CEF-4F8E-4200-9550-D20914E8AB3B}">
    <text>ARB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N10" dT="2025-05-14T10:13:52.84" personId="{00000000-0000-0000-0000-000000000000}" id="{9D1D6BE1-167A-4714-BE06-C329DF368927}">
    <text>CBS</text>
  </threadedComment>
  <threadedComment ref="W10" dT="2025-05-14T10:14:42.49" personId="{00000000-0000-0000-0000-000000000000}" id="{032F9FAC-2280-426B-91D6-43909087F1B3}">
    <text>VB</text>
  </threadedComment>
  <threadedComment ref="C11" dT="2025-05-14T13:07:09.61" personId="{00000000-0000-0000-0000-000000000000}" id="{CBCFA78D-6D4B-4035-B9A2-542E5901E1DE}">
    <text>ARB</text>
  </threadedComment>
  <threadedComment ref="O11" dT="2025-06-10T12:45:47.39" personId="{0847D65E-16B1-4237-941E-9E24D6278D40}" id="{424752BC-9B58-492E-AD6A-3370B85E6C3C}">
    <text>MB</text>
  </threadedComment>
  <threadedComment ref="O12" dT="2025-06-10T12:45:57.52" personId="{0847D65E-16B1-4237-941E-9E24D6278D40}" id="{B4FA7936-43CE-4894-9751-4F05B568C37D}">
    <text>MB</text>
  </threadedComment>
  <threadedComment ref="C13" dT="2025-05-14T13:07:21.19" personId="{00000000-0000-0000-0000-000000000000}" id="{F6A41874-1DF6-4D8A-8210-7DE1E9F9F886}">
    <text>ARB</text>
  </threadedComment>
  <threadedComment ref="O13" dT="2025-06-10T12:46:04.38" personId="{0847D65E-16B1-4237-941E-9E24D6278D40}" id="{4A9E93E3-E4B1-481E-B00C-7EB9FB31C87D}">
    <text>MB</text>
  </threadedComment>
  <threadedComment ref="O14" dT="2025-06-10T12:46:12.24" personId="{0847D65E-16B1-4237-941E-9E24D6278D40}" id="{1CEEAE77-320C-46F2-B5F6-CBD0BCCFBA74}">
    <text>MB</text>
  </threadedComment>
  <threadedComment ref="N15" dT="2025-05-14T10:14:08.25" personId="{00000000-0000-0000-0000-000000000000}" id="{9F11A741-117A-4DEA-855C-08359E269238}">
    <text>CBS</text>
  </threadedComment>
  <threadedComment ref="W15" dT="2025-05-14T10:14:55.55" personId="{00000000-0000-0000-0000-000000000000}" id="{74F77E57-1691-4B5C-9132-25600FA08262}">
    <text>VB</text>
  </threadedComment>
  <threadedComment ref="V16" dT="2025-05-14T10:15:22.47" personId="{00000000-0000-0000-0000-000000000000}" id="{C1491A58-7437-45F0-BAB2-417E15D36661}">
    <text>BCRL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S9" dT="2025-05-14T10:15:42.04" personId="{00000000-0000-0000-0000-000000000000}" id="{B35C2E9A-43D7-46D0-979C-0F273256D1AF}">
    <text>MYBAD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3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4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5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table" Target="../tables/table13.xml"/><Relationship Id="rId1" Type="http://schemas.openxmlformats.org/officeDocument/2006/relationships/vmlDrawing" Target="../drawings/vmlDrawing6.v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table" Target="../tables/table14.xml"/><Relationship Id="rId1" Type="http://schemas.openxmlformats.org/officeDocument/2006/relationships/vmlDrawing" Target="../drawings/vmlDrawing7.v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table" Target="../tables/table22.xml"/><Relationship Id="rId1" Type="http://schemas.openxmlformats.org/officeDocument/2006/relationships/vmlDrawing" Target="../drawings/vmlDrawing8.v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theme="6" tint="0.39997558519241921"/>
  </sheetPr>
  <dimension ref="A1:AH16"/>
  <sheetViews>
    <sheetView showGridLines="0" topLeftCell="A6" zoomScaleNormal="100" workbookViewId="0">
      <selection activeCell="B12" sqref="B12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9.28515625" customWidth="1"/>
    <col min="35" max="35" width="2.7109375" customWidth="1"/>
  </cols>
  <sheetData>
    <row r="1" spans="1:34" s="11" customFormat="1" ht="50.1" customHeight="1">
      <c r="A1" s="10"/>
      <c r="B1" s="20"/>
    </row>
    <row r="2" spans="1:34" s="11" customFormat="1" ht="100.35" customHeight="1">
      <c r="A2"/>
      <c r="B2" s="19" t="s">
        <v>0</v>
      </c>
    </row>
    <row r="3" spans="1:34" s="11" customFormat="1" ht="15" customHeight="1">
      <c r="A3"/>
      <c r="B3" s="7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</row>
    <row r="4" spans="1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1:34" ht="15" customHeight="1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4"/>
    </row>
    <row r="6" spans="1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v>2025</v>
      </c>
    </row>
    <row r="7" spans="1:34" ht="30" customHeight="1">
      <c r="B7" s="4"/>
      <c r="C7" s="17" t="str">
        <f>TEXT(WEEKDAY(DATE(CalendarYear,1,1),1),"jjj")</f>
        <v>mer.</v>
      </c>
      <c r="D7" s="17" t="str">
        <f>TEXT(WEEKDAY(DATE(CalendarYear,1,2),1),"jjj")</f>
        <v>jeu.</v>
      </c>
      <c r="E7" s="17" t="str">
        <f>TEXT(WEEKDAY(DATE(CalendarYear,1,3),1),"jjj")</f>
        <v>ven.</v>
      </c>
      <c r="F7" s="17" t="str">
        <f>TEXT(WEEKDAY(DATE(CalendarYear,1,4),1),"jjj")</f>
        <v>sam.</v>
      </c>
      <c r="G7" s="17" t="str">
        <f>TEXT(WEEKDAY(DATE(CalendarYear,1,5),1),"jjj")</f>
        <v>dim.</v>
      </c>
      <c r="H7" s="17" t="str">
        <f>TEXT(WEEKDAY(DATE(CalendarYear,1,6),1),"jjj")</f>
        <v>lun.</v>
      </c>
      <c r="I7" s="17" t="str">
        <f>TEXT(WEEKDAY(DATE(CalendarYear,1,7),1),"jjj")</f>
        <v>mar.</v>
      </c>
      <c r="J7" s="17" t="str">
        <f>TEXT(WEEKDAY(DATE(CalendarYear,1,8),1),"jjj")</f>
        <v>mer.</v>
      </c>
      <c r="K7" s="17" t="str">
        <f>TEXT(WEEKDAY(DATE(CalendarYear,1,9),1),"jjj")</f>
        <v>jeu.</v>
      </c>
      <c r="L7" s="17" t="str">
        <f>TEXT(WEEKDAY(DATE(CalendarYear,1,10),1),"jjj")</f>
        <v>ven.</v>
      </c>
      <c r="M7" s="17" t="str">
        <f>TEXT(WEEKDAY(DATE(CalendarYear,1,11),1),"jjj")</f>
        <v>sam.</v>
      </c>
      <c r="N7" s="17" t="str">
        <f>TEXT(WEEKDAY(DATE(CalendarYear,1,12),1),"jjj")</f>
        <v>dim.</v>
      </c>
      <c r="O7" s="17" t="str">
        <f>TEXT(WEEKDAY(DATE(CalendarYear,1,13),1),"jjj")</f>
        <v>lun.</v>
      </c>
      <c r="P7" s="17" t="str">
        <f>TEXT(WEEKDAY(DATE(CalendarYear,1,14),1),"jjj")</f>
        <v>mar.</v>
      </c>
      <c r="Q7" s="17" t="str">
        <f>TEXT(WEEKDAY(DATE(CalendarYear,1,15),1),"jjj")</f>
        <v>mer.</v>
      </c>
      <c r="R7" s="17" t="str">
        <f>TEXT(WEEKDAY(DATE(CalendarYear,1,16),1),"jjj")</f>
        <v>jeu.</v>
      </c>
      <c r="S7" s="17" t="str">
        <f>TEXT(WEEKDAY(DATE(CalendarYear,1,17),1),"jjj")</f>
        <v>ven.</v>
      </c>
      <c r="T7" s="17" t="str">
        <f>TEXT(WEEKDAY(DATE(CalendarYear,1,18),1),"jjj")</f>
        <v>sam.</v>
      </c>
      <c r="U7" s="17" t="str">
        <f>TEXT(WEEKDAY(DATE(CalendarYear,1,19),1),"jjj")</f>
        <v>dim.</v>
      </c>
      <c r="V7" s="17" t="str">
        <f>TEXT(WEEKDAY(DATE(CalendarYear,1,20),1),"jjj")</f>
        <v>lun.</v>
      </c>
      <c r="W7" s="17" t="str">
        <f>TEXT(WEEKDAY(DATE(CalendarYear,1,21),1),"jjj")</f>
        <v>mar.</v>
      </c>
      <c r="X7" s="17" t="str">
        <f>TEXT(WEEKDAY(DATE(CalendarYear,1,22),1),"jjj")</f>
        <v>mer.</v>
      </c>
      <c r="Y7" s="17" t="str">
        <f>TEXT(WEEKDAY(DATE(CalendarYear,1,23),1),"jjj")</f>
        <v>jeu.</v>
      </c>
      <c r="Z7" s="17" t="str">
        <f>TEXT(WEEKDAY(DATE(CalendarYear,1,24),1),"jjj")</f>
        <v>ven.</v>
      </c>
      <c r="AA7" s="17" t="str">
        <f>TEXT(WEEKDAY(DATE(CalendarYear,1,25),1),"jjj")</f>
        <v>sam.</v>
      </c>
      <c r="AB7" s="17" t="str">
        <f>TEXT(WEEKDAY(DATE(CalendarYear,1,26),1),"jjj")</f>
        <v>dim.</v>
      </c>
      <c r="AC7" s="17" t="str">
        <f>TEXT(WEEKDAY(DATE(CalendarYear,1,27),1),"jjj")</f>
        <v>lun.</v>
      </c>
      <c r="AD7" s="17" t="str">
        <f>TEXT(WEEKDAY(DATE(CalendarYear,1,28),1),"jjj")</f>
        <v>mar.</v>
      </c>
      <c r="AE7" s="17" t="str">
        <f>TEXT(WEEKDAY(DATE(CalendarYear,1,29),1),"jjj")</f>
        <v>mer.</v>
      </c>
      <c r="AF7" s="17" t="str">
        <f>TEXT(WEEKDAY(DATE(CalendarYear,1,30),1),"jjj")</f>
        <v>jeu.</v>
      </c>
      <c r="AG7" s="17" t="str">
        <f>TEXT(WEEKDAY(DATE(CalendarYear,1,31),1),"jjj")</f>
        <v>ven.</v>
      </c>
      <c r="AH7" s="4"/>
    </row>
    <row r="8" spans="1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1:34" ht="30" customHeight="1">
      <c r="B9" s="2" t="s">
        <v>39</v>
      </c>
      <c r="C9" s="1"/>
      <c r="D9" s="1"/>
      <c r="E9" s="15"/>
      <c r="F9" s="15"/>
      <c r="G9" s="15"/>
      <c r="H9" s="15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COUNTA(Janvier!$C9:$AG9)</f>
        <v>0</v>
      </c>
    </row>
    <row r="10" spans="1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COUNTA(Janvier!$C10:$AG10)</f>
        <v>0</v>
      </c>
    </row>
    <row r="11" spans="1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COUNTA(Janvier!$C11:$AG11)</f>
        <v>0</v>
      </c>
    </row>
    <row r="12" spans="1:34" ht="30" customHeight="1">
      <c r="B12" s="2" t="s">
        <v>42</v>
      </c>
      <c r="C12" s="29"/>
      <c r="D12" s="29"/>
      <c r="E12" s="29"/>
      <c r="F12" s="29"/>
      <c r="G12" s="28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3">
        <f>COUNTA(Janvier!$C12:$AG12)</f>
        <v>0</v>
      </c>
    </row>
    <row r="13" spans="1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COUNTA(Janvier!$C13:$AG13)</f>
        <v>0</v>
      </c>
    </row>
    <row r="14" spans="1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COUNTA(Janvier!$C14:$AG14)</f>
        <v>0</v>
      </c>
    </row>
    <row r="15" spans="1:34" ht="30" customHeight="1">
      <c r="B15" s="2" t="s">
        <v>45</v>
      </c>
      <c r="C15" s="29"/>
      <c r="D15" s="29"/>
      <c r="E15" s="29"/>
      <c r="F15" s="29"/>
      <c r="G15" s="28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>
        <f>COUNTA(Janvier!$C15:$AG15)</f>
        <v>0</v>
      </c>
    </row>
    <row r="16" spans="1:34" ht="30" customHeight="1">
      <c r="B16" s="2" t="s">
        <v>46</v>
      </c>
      <c r="C16" s="29"/>
      <c r="D16" s="29"/>
      <c r="E16" s="29"/>
      <c r="F16" s="29"/>
      <c r="G16" s="28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>
        <f>COUNTA(Janvier!$C16:$AG16)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1718" priority="171" stopIfTrue="1">
      <formula>C9="C"</formula>
    </cfRule>
    <cfRule type="expression" dxfId="1717" priority="172" stopIfTrue="1">
      <formula>C9="R"</formula>
    </cfRule>
  </conditionalFormatting>
  <conditionalFormatting sqref="AH9:AH16">
    <cfRule type="dataBar" priority="170">
      <dataBar>
        <cfvo type="num" val="0"/>
        <cfvo type="num" val="31"/>
        <color theme="4"/>
      </dataBar>
      <extLst>
        <ext xmlns:x14="http://schemas.microsoft.com/office/spreadsheetml/2009/9/main" uri="{B025F937-C7B1-47D3-B67F-A62EFF666E3E}">
          <x14:id>{ECCE2C3C-1B01-4700-B60E-DAAAB19A9C1A}</x14:id>
        </ext>
      </extLst>
    </cfRule>
  </conditionalFormatting>
  <pageMargins left="0.7" right="0.7" top="0.75" bottom="0.75" header="0.3" footer="0.3"/>
  <pageSetup paperSize="9" fitToHeight="0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CCE2C3C-1B01-4700-B60E-DAAAB19A9C1A}">
            <x14:dataBar minLength="0" maxLength="100" gradient="0">
              <x14:cfvo type="num">
                <xm:f>0</xm:f>
              </x14:cfvo>
              <x14:cfvo type="num">
                <xm:f>31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0">
    <tabColor theme="7"/>
  </sheetPr>
  <dimension ref="B1:AH16"/>
  <sheetViews>
    <sheetView showGridLines="0" topLeftCell="A6" zoomScaleNormal="100" workbookViewId="0">
      <selection activeCell="B12" sqref="B12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4" t="s">
        <v>57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TEXT(WEEKDAY(DATE(CalendarYear,10,1),1),"jjj")</f>
        <v>mer.</v>
      </c>
      <c r="D7" s="17" t="str">
        <f>TEXT(WEEKDAY(DATE(CalendarYear,10,2),1),"jjj")</f>
        <v>jeu.</v>
      </c>
      <c r="E7" s="17" t="str">
        <f>TEXT(WEEKDAY(DATE(CalendarYear,10,3),1),"jjj")</f>
        <v>ven.</v>
      </c>
      <c r="F7" s="17" t="str">
        <f>TEXT(WEEKDAY(DATE(CalendarYear,10,4),1),"jjj")</f>
        <v>sam.</v>
      </c>
      <c r="G7" s="17" t="str">
        <f>TEXT(WEEKDAY(DATE(CalendarYear,10,5),1),"jjj")</f>
        <v>dim.</v>
      </c>
      <c r="H7" s="17" t="str">
        <f>TEXT(WEEKDAY(DATE(CalendarYear,10,6),1),"jjj")</f>
        <v>lun.</v>
      </c>
      <c r="I7" s="17" t="str">
        <f>TEXT(WEEKDAY(DATE(CalendarYear,10,7),1),"jjj")</f>
        <v>mar.</v>
      </c>
      <c r="J7" s="17" t="str">
        <f>TEXT(WEEKDAY(DATE(CalendarYear,10,8),1),"jjj")</f>
        <v>mer.</v>
      </c>
      <c r="K7" s="17" t="str">
        <f>TEXT(WEEKDAY(DATE(CalendarYear,10,9),1),"jjj")</f>
        <v>jeu.</v>
      </c>
      <c r="L7" s="17" t="str">
        <f>TEXT(WEEKDAY(DATE(CalendarYear,10,10),1),"jjj")</f>
        <v>ven.</v>
      </c>
      <c r="M7" s="17" t="str">
        <f>TEXT(WEEKDAY(DATE(CalendarYear,10,11),1),"jjj")</f>
        <v>sam.</v>
      </c>
      <c r="N7" s="17" t="str">
        <f>TEXT(WEEKDAY(DATE(CalendarYear,10,12),1),"jjj")</f>
        <v>dim.</v>
      </c>
      <c r="O7" s="17" t="str">
        <f>TEXT(WEEKDAY(DATE(CalendarYear,10,13),1),"jjj")</f>
        <v>lun.</v>
      </c>
      <c r="P7" s="17" t="str">
        <f>TEXT(WEEKDAY(DATE(CalendarYear,10,14),1),"jjj")</f>
        <v>mar.</v>
      </c>
      <c r="Q7" s="17" t="str">
        <f>TEXT(WEEKDAY(DATE(CalendarYear,10,15),1),"jjj")</f>
        <v>mer.</v>
      </c>
      <c r="R7" s="17" t="str">
        <f>TEXT(WEEKDAY(DATE(CalendarYear,10,16),1),"jjj")</f>
        <v>jeu.</v>
      </c>
      <c r="S7" s="17" t="str">
        <f>TEXT(WEEKDAY(DATE(CalendarYear,10,17),1),"jjj")</f>
        <v>ven.</v>
      </c>
      <c r="T7" s="17" t="str">
        <f>TEXT(WEEKDAY(DATE(CalendarYear,10,18),1),"jjj")</f>
        <v>sam.</v>
      </c>
      <c r="U7" s="17" t="str">
        <f>TEXT(WEEKDAY(DATE(CalendarYear,10,19),1),"jjj")</f>
        <v>dim.</v>
      </c>
      <c r="V7" s="17" t="str">
        <f>TEXT(WEEKDAY(DATE(CalendarYear,10,20),1),"jjj")</f>
        <v>lun.</v>
      </c>
      <c r="W7" s="17" t="str">
        <f>TEXT(WEEKDAY(DATE(CalendarYear,10,21),1),"jjj")</f>
        <v>mar.</v>
      </c>
      <c r="X7" s="17" t="str">
        <f>TEXT(WEEKDAY(DATE(CalendarYear,10,22),1),"jjj")</f>
        <v>mer.</v>
      </c>
      <c r="Y7" s="17" t="str">
        <f>TEXT(WEEKDAY(DATE(CalendarYear,10,23),1),"jjj")</f>
        <v>jeu.</v>
      </c>
      <c r="Z7" s="17" t="str">
        <f>TEXT(WEEKDAY(DATE(CalendarYear,10,24),1),"jjj")</f>
        <v>ven.</v>
      </c>
      <c r="AA7" s="17" t="str">
        <f>TEXT(WEEKDAY(DATE(CalendarYear,10,25),1),"jjj")</f>
        <v>sam.</v>
      </c>
      <c r="AB7" s="17" t="str">
        <f>TEXT(WEEKDAY(DATE(CalendarYear,10,26),1),"jjj")</f>
        <v>dim.</v>
      </c>
      <c r="AC7" s="17" t="str">
        <f>TEXT(WEEKDAY(DATE(CalendarYear,10,27),1),"jjj")</f>
        <v>lun.</v>
      </c>
      <c r="AD7" s="17" t="str">
        <f>TEXT(WEEKDAY(DATE(CalendarYear,10,28),1),"jjj")</f>
        <v>mar.</v>
      </c>
      <c r="AE7" s="17" t="str">
        <f>TEXT(WEEKDAY(DATE(CalendarYear,10,29),1),"jjj")</f>
        <v>mer.</v>
      </c>
      <c r="AF7" s="17" t="str">
        <f>TEXT(WEEKDAY(DATE(CalendarYear,10,30),1),"jjj")</f>
        <v>jeu.</v>
      </c>
      <c r="AG7" s="17" t="str">
        <f>TEXT(WEEKDAY(DATE(CalendarYear,10,31),1),"jjj")</f>
        <v>ven.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 t="s">
        <v>1</v>
      </c>
      <c r="T9" s="1" t="s">
        <v>1</v>
      </c>
      <c r="U9" s="1" t="s">
        <v>1</v>
      </c>
      <c r="V9" s="1" t="s">
        <v>1</v>
      </c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COUNTA(Octobre[[#This Row],[1]:[31]])</f>
        <v>4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COUNTA(Octobre[[#This Row],[1]:[31]])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COUNTA(Octobre[[#This Row],[1]:[31]])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COUNTA(Octobre[[#This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COUNTA(Octobre[[#This Row],[1]:[31]])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COUNTA(Octobre[[#This Row],[1]:[31]])</f>
        <v>0</v>
      </c>
    </row>
    <row r="15" spans="2:34" ht="30" customHeight="1">
      <c r="B15" s="2" t="s">
        <v>45</v>
      </c>
      <c r="AG15" s="29"/>
      <c r="AH15" s="29">
        <f>COUNTA(Octobre[[#This Row],[1]:[31]])</f>
        <v>0</v>
      </c>
    </row>
    <row r="16" spans="2:34" ht="30" customHeight="1">
      <c r="B16" s="35" t="s">
        <v>46</v>
      </c>
      <c r="AG16" s="29"/>
      <c r="AH16" s="29">
        <f>COUNTA(Octobre[[#This Row],[1]:[31]])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1078" priority="8" stopIfTrue="1">
      <formula>C9="C"</formula>
    </cfRule>
    <cfRule type="expression" dxfId="1077" priority="9" stopIfTrue="1">
      <formula>C9="R"</formula>
    </cfRule>
  </conditionalFormatting>
  <conditionalFormatting sqref="AH9:AH16">
    <cfRule type="dataBar" priority="7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{F32A08EA-50E8-4B5F-AB1F-5A7739FBC16C}</x14:id>
        </ext>
      </extLst>
    </cfRule>
  </conditionalFormatting>
  <pageMargins left="0.7" right="0.7" top="0.75" bottom="0.75" header="0.3" footer="0.3"/>
  <pageSetup paperSize="9" fitToHeight="0" orientation="portrait" verticalDpi="4294967293" r:id="rId1"/>
  <legacy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32A08EA-50E8-4B5F-AB1F-5A7739FBC16C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1">
    <tabColor theme="7"/>
  </sheetPr>
  <dimension ref="B1:AH16"/>
  <sheetViews>
    <sheetView showGridLines="0" topLeftCell="A2" zoomScaleNormal="100" workbookViewId="0">
      <selection activeCell="W9" sqref="W9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4" t="s">
        <v>58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TEXT(WEEKDAY(DATE(CalendarYear,11,1),1),"jjj")</f>
        <v>sam.</v>
      </c>
      <c r="D7" s="17" t="str">
        <f>TEXT(WEEKDAY(DATE(CalendarYear,11,2),1),"jjj")</f>
        <v>dim.</v>
      </c>
      <c r="E7" s="17" t="str">
        <f>TEXT(WEEKDAY(DATE(CalendarYear,11,3),1),"jjj")</f>
        <v>lun.</v>
      </c>
      <c r="F7" s="17" t="str">
        <f>TEXT(WEEKDAY(DATE(CalendarYear,11,4),1),"jjj")</f>
        <v>mar.</v>
      </c>
      <c r="G7" s="17" t="str">
        <f>TEXT(WEEKDAY(DATE(CalendarYear,11,5),1),"jjj")</f>
        <v>mer.</v>
      </c>
      <c r="H7" s="17" t="str">
        <f>TEXT(WEEKDAY(DATE(CalendarYear,11,6),1),"jjj")</f>
        <v>jeu.</v>
      </c>
      <c r="I7" s="17" t="str">
        <f>TEXT(WEEKDAY(DATE(CalendarYear,11,7),1),"jjj")</f>
        <v>ven.</v>
      </c>
      <c r="J7" s="17" t="str">
        <f>TEXT(WEEKDAY(DATE(CalendarYear,11,8),1),"jjj")</f>
        <v>sam.</v>
      </c>
      <c r="K7" s="17" t="str">
        <f>TEXT(WEEKDAY(DATE(CalendarYear,11,9),1),"jjj")</f>
        <v>dim.</v>
      </c>
      <c r="L7" s="17" t="str">
        <f>TEXT(WEEKDAY(DATE(CalendarYear,11,10),1),"jjj")</f>
        <v>lun.</v>
      </c>
      <c r="M7" s="17" t="str">
        <f>TEXT(WEEKDAY(DATE(CalendarYear,11,11),1),"jjj")</f>
        <v>mar.</v>
      </c>
      <c r="N7" s="17" t="str">
        <f>TEXT(WEEKDAY(DATE(CalendarYear,11,12),1),"jjj")</f>
        <v>mer.</v>
      </c>
      <c r="O7" s="17" t="str">
        <f>TEXT(WEEKDAY(DATE(CalendarYear,11,13),1),"jjj")</f>
        <v>jeu.</v>
      </c>
      <c r="P7" s="17" t="str">
        <f>TEXT(WEEKDAY(DATE(CalendarYear,11,14),1),"jjj")</f>
        <v>ven.</v>
      </c>
      <c r="Q7" s="17" t="str">
        <f>TEXT(WEEKDAY(DATE(CalendarYear,11,15),1),"jjj")</f>
        <v>sam.</v>
      </c>
      <c r="R7" s="17" t="str">
        <f>TEXT(WEEKDAY(DATE(CalendarYear,11,16),1),"jjj")</f>
        <v>dim.</v>
      </c>
      <c r="S7" s="17" t="str">
        <f>TEXT(WEEKDAY(DATE(CalendarYear,11,17),1),"jjj")</f>
        <v>lun.</v>
      </c>
      <c r="T7" s="17" t="str">
        <f>TEXT(WEEKDAY(DATE(CalendarYear,11,18),1),"jjj")</f>
        <v>mar.</v>
      </c>
      <c r="U7" s="17" t="str">
        <f>TEXT(WEEKDAY(DATE(CalendarYear,11,19),1),"jjj")</f>
        <v>mer.</v>
      </c>
      <c r="V7" s="17" t="str">
        <f>TEXT(WEEKDAY(DATE(CalendarYear,11,20),1),"jjj")</f>
        <v>jeu.</v>
      </c>
      <c r="W7" s="17" t="str">
        <f>TEXT(WEEKDAY(DATE(CalendarYear,11,21),1),"jjj")</f>
        <v>ven.</v>
      </c>
      <c r="X7" s="17" t="str">
        <f>TEXT(WEEKDAY(DATE(CalendarYear,11,22),1),"jjj")</f>
        <v>sam.</v>
      </c>
      <c r="Y7" s="17" t="str">
        <f>TEXT(WEEKDAY(DATE(CalendarYear,11,23),1),"jjj")</f>
        <v>dim.</v>
      </c>
      <c r="Z7" s="17" t="str">
        <f>TEXT(WEEKDAY(DATE(CalendarYear,11,24),1),"jjj")</f>
        <v>lun.</v>
      </c>
      <c r="AA7" s="17" t="str">
        <f>TEXT(WEEKDAY(DATE(CalendarYear,11,25),1),"jjj")</f>
        <v>mar.</v>
      </c>
      <c r="AB7" s="17" t="str">
        <f>TEXT(WEEKDAY(DATE(CalendarYear,11,26),1),"jjj")</f>
        <v>mer.</v>
      </c>
      <c r="AC7" s="17" t="str">
        <f>TEXT(WEEKDAY(DATE(CalendarYear,11,27),1),"jjj")</f>
        <v>jeu.</v>
      </c>
      <c r="AD7" s="17" t="str">
        <f>TEXT(WEEKDAY(DATE(CalendarYear,11,28),1),"jjj")</f>
        <v>ven.</v>
      </c>
      <c r="AE7" s="17" t="str">
        <f>TEXT(WEEKDAY(DATE(CalendarYear,11,29),1),"jjj")</f>
        <v>sam.</v>
      </c>
      <c r="AF7" s="17" t="str">
        <f>TEXT(WEEKDAY(DATE(CalendarYear,11,30),1),"jjj")</f>
        <v>dim.</v>
      </c>
      <c r="AG7" s="17"/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48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 t="s">
        <v>1</v>
      </c>
      <c r="AE9" s="1" t="s">
        <v>1</v>
      </c>
      <c r="AF9" s="1" t="s">
        <v>1</v>
      </c>
      <c r="AG9" s="1"/>
      <c r="AH9" s="3">
        <f>COUNTA(Novembre[[#This Row],[1]:[ ]])</f>
        <v>3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COUNTA(Novembre[[#This Row],[1]:[ 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COUNTA(Novembre[[#This Row],[1]:[ 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COUNTA(Novembre[[#This Row],[1]:[ 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COUNTA(Novembre[[#This Row],[1]:[ 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COUNTA(Novembre[[#This Row],[1]:[ ]])</f>
        <v>0</v>
      </c>
    </row>
    <row r="15" spans="2:34" ht="30" customHeight="1">
      <c r="B15" s="2" t="s">
        <v>45</v>
      </c>
      <c r="AG15" s="29"/>
      <c r="AH15" s="29">
        <f>COUNTA(Novembre[[#This Row],[1]:[ ]])</f>
        <v>0</v>
      </c>
    </row>
    <row r="16" spans="2:34" ht="30" customHeight="1">
      <c r="B16" s="35" t="s">
        <v>46</v>
      </c>
      <c r="AG16" s="29"/>
      <c r="AH16" s="29">
        <f>COUNTA(Novembre[[#This Row],[1]:[ 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1007" priority="8" stopIfTrue="1">
      <formula>C9="C"</formula>
    </cfRule>
    <cfRule type="expression" dxfId="1006" priority="9" stopIfTrue="1">
      <formula>C9="R"</formula>
    </cfRule>
  </conditionalFormatting>
  <conditionalFormatting sqref="AH9:AH16">
    <cfRule type="dataBar" priority="7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{27D92E49-5CF1-46DF-AD7A-3A5E92F274F3}</x14:id>
        </ext>
      </extLst>
    </cfRule>
  </conditionalFormatting>
  <pageMargins left="0.7" right="0.7" top="0.75" bottom="0.75" header="0.3" footer="0.3"/>
  <pageSetup paperSize="9" fitToHeight="0" orientation="portrait" verticalDpi="4294967293" r:id="rId1"/>
  <legacy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7D92E49-5CF1-46DF-AD7A-3A5E92F274F3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12">
    <tabColor theme="6" tint="0.39997558519241921"/>
  </sheetPr>
  <dimension ref="B1:AH16"/>
  <sheetViews>
    <sheetView showGridLines="0" topLeftCell="B6" zoomScaleNormal="100" workbookViewId="0">
      <selection activeCell="L15" sqref="L15:AG15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19" t="s">
        <v>59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TEXT(WEEKDAY(DATE(CalendarYear,12,1),1),"jjj")</f>
        <v>lun.</v>
      </c>
      <c r="D7" s="17" t="str">
        <f>TEXT(WEEKDAY(DATE(CalendarYear,12,2),1),"jjj")</f>
        <v>mar.</v>
      </c>
      <c r="E7" s="17" t="str">
        <f>TEXT(WEEKDAY(DATE(CalendarYear,12,3),1),"jjj")</f>
        <v>mer.</v>
      </c>
      <c r="F7" s="17" t="str">
        <f>TEXT(WEEKDAY(DATE(CalendarYear,12,4),1),"jjj")</f>
        <v>jeu.</v>
      </c>
      <c r="G7" s="17" t="str">
        <f>TEXT(WEEKDAY(DATE(CalendarYear,12,5),1),"jjj")</f>
        <v>ven.</v>
      </c>
      <c r="H7" s="17" t="str">
        <f>TEXT(WEEKDAY(DATE(CalendarYear,12,6),1),"jjj")</f>
        <v>sam.</v>
      </c>
      <c r="I7" s="17" t="str">
        <f>TEXT(WEEKDAY(DATE(CalendarYear,12,7),1),"jjj")</f>
        <v>dim.</v>
      </c>
      <c r="J7" s="17" t="str">
        <f>TEXT(WEEKDAY(DATE(CalendarYear,12,8),1),"jjj")</f>
        <v>lun.</v>
      </c>
      <c r="K7" s="17" t="str">
        <f>TEXT(WEEKDAY(DATE(CalendarYear,12,9),1),"jjj")</f>
        <v>mar.</v>
      </c>
      <c r="L7" s="17" t="str">
        <f>TEXT(WEEKDAY(DATE(CalendarYear,12,10),1),"jjj")</f>
        <v>mer.</v>
      </c>
      <c r="M7" s="17" t="str">
        <f>TEXT(WEEKDAY(DATE(CalendarYear,12,11),1),"jjj")</f>
        <v>jeu.</v>
      </c>
      <c r="N7" s="17" t="str">
        <f>TEXT(WEEKDAY(DATE(CalendarYear,12,12),1),"jjj")</f>
        <v>ven.</v>
      </c>
      <c r="O7" s="17" t="str">
        <f>TEXT(WEEKDAY(DATE(CalendarYear,12,13),1),"jjj")</f>
        <v>sam.</v>
      </c>
      <c r="P7" s="17" t="str">
        <f>TEXT(WEEKDAY(DATE(CalendarYear,12,14),1),"jjj")</f>
        <v>dim.</v>
      </c>
      <c r="Q7" s="17" t="str">
        <f>TEXT(WEEKDAY(DATE(CalendarYear,12,15),1),"jjj")</f>
        <v>lun.</v>
      </c>
      <c r="R7" s="17" t="str">
        <f>TEXT(WEEKDAY(DATE(CalendarYear,12,16),1),"jjj")</f>
        <v>mar.</v>
      </c>
      <c r="S7" s="17" t="str">
        <f>TEXT(WEEKDAY(DATE(CalendarYear,12,17),1),"jjj")</f>
        <v>mer.</v>
      </c>
      <c r="T7" s="17" t="str">
        <f>TEXT(WEEKDAY(DATE(CalendarYear,12,18),1),"jjj")</f>
        <v>jeu.</v>
      </c>
      <c r="U7" s="17" t="str">
        <f>TEXT(WEEKDAY(DATE(CalendarYear,12,19),1),"jjj")</f>
        <v>ven.</v>
      </c>
      <c r="V7" s="17" t="str">
        <f>TEXT(WEEKDAY(DATE(CalendarYear,12,20),1),"jjj")</f>
        <v>sam.</v>
      </c>
      <c r="W7" s="17" t="str">
        <f>TEXT(WEEKDAY(DATE(CalendarYear,12,21),1),"jjj")</f>
        <v>dim.</v>
      </c>
      <c r="X7" s="17" t="str">
        <f>TEXT(WEEKDAY(DATE(CalendarYear,12,22),1),"jjj")</f>
        <v>lun.</v>
      </c>
      <c r="Y7" s="17" t="str">
        <f>TEXT(WEEKDAY(DATE(CalendarYear,12,23),1),"jjj")</f>
        <v>mar.</v>
      </c>
      <c r="Z7" s="17" t="str">
        <f>TEXT(WEEKDAY(DATE(CalendarYear,12,24),1),"jjj")</f>
        <v>mer.</v>
      </c>
      <c r="AA7" s="17" t="str">
        <f>TEXT(WEEKDAY(DATE(CalendarYear,12,25),1),"jjj")</f>
        <v>jeu.</v>
      </c>
      <c r="AB7" s="17" t="str">
        <f>TEXT(WEEKDAY(DATE(CalendarYear,12,26),1),"jjj")</f>
        <v>ven.</v>
      </c>
      <c r="AC7" s="17" t="str">
        <f>TEXT(WEEKDAY(DATE(CalendarYear,12,27),1),"jjj")</f>
        <v>sam.</v>
      </c>
      <c r="AD7" s="17" t="str">
        <f>TEXT(WEEKDAY(DATE(CalendarYear,12,28),1),"jjj")</f>
        <v>dim.</v>
      </c>
      <c r="AE7" s="17" t="str">
        <f>TEXT(WEEKDAY(DATE(CalendarYear,12,29),1),"jjj")</f>
        <v>lun.</v>
      </c>
      <c r="AF7" s="17" t="str">
        <f>TEXT(WEEKDAY(DATE(CalendarYear,12,30),1),"jjj")</f>
        <v>mar.</v>
      </c>
      <c r="AG7" s="17" t="str">
        <f>TEXT(WEEKDAY(DATE(CalendarYear,12,31),1),"jjj")</f>
        <v>mer.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 t="s">
        <v>1</v>
      </c>
      <c r="D9" s="1"/>
      <c r="E9" s="1"/>
      <c r="F9" s="1"/>
      <c r="G9" s="1" t="s">
        <v>1</v>
      </c>
      <c r="H9" s="1" t="s">
        <v>1</v>
      </c>
      <c r="I9" s="1" t="s">
        <v>1</v>
      </c>
      <c r="J9" s="1"/>
      <c r="K9" s="1"/>
      <c r="L9" s="1"/>
      <c r="M9" s="1"/>
      <c r="N9" s="1" t="s">
        <v>1</v>
      </c>
      <c r="O9" s="1" t="s">
        <v>1</v>
      </c>
      <c r="P9" s="1" t="s">
        <v>1</v>
      </c>
      <c r="Q9" s="1" t="s">
        <v>1</v>
      </c>
      <c r="R9" s="1"/>
      <c r="S9" s="1"/>
      <c r="T9" s="1" t="s">
        <v>1</v>
      </c>
      <c r="U9" s="1" t="s">
        <v>1</v>
      </c>
      <c r="V9" s="1" t="s">
        <v>1</v>
      </c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COUNTA(Décembre[[#This Row],[1]:[31]])</f>
        <v>11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COUNTA(Décembre[[#This Row],[1]:[31]])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COUNTA(Décembre[[#This Row],[1]:[31]])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COUNTA(Décembre[[#This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 t="s">
        <v>1</v>
      </c>
      <c r="H13" s="1" t="s">
        <v>1</v>
      </c>
      <c r="I13" s="1" t="s">
        <v>1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COUNTA(Décembre[[#This Row],[1]:[31]])</f>
        <v>3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 t="s">
        <v>1</v>
      </c>
      <c r="U14" s="1" t="s">
        <v>1</v>
      </c>
      <c r="V14" s="1" t="s">
        <v>1</v>
      </c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COUNTA(Décembre[[#This Row],[1]:[31]])</f>
        <v>3</v>
      </c>
    </row>
    <row r="15" spans="2:34" ht="30" customHeight="1">
      <c r="B15" s="2" t="s">
        <v>45</v>
      </c>
      <c r="C15" s="1" t="s">
        <v>1</v>
      </c>
      <c r="D15" s="1" t="s">
        <v>1</v>
      </c>
      <c r="E15" s="1" t="s">
        <v>1</v>
      </c>
      <c r="F15" s="1" t="s">
        <v>1</v>
      </c>
      <c r="G15" s="1" t="s">
        <v>1</v>
      </c>
      <c r="H15" s="1" t="s">
        <v>1</v>
      </c>
      <c r="I15" s="1" t="s">
        <v>1</v>
      </c>
      <c r="J15" s="1" t="s">
        <v>1</v>
      </c>
      <c r="K15" s="1" t="s">
        <v>1</v>
      </c>
      <c r="L15" s="1" t="s">
        <v>60</v>
      </c>
      <c r="M15" s="1" t="s">
        <v>60</v>
      </c>
      <c r="N15" s="1" t="s">
        <v>60</v>
      </c>
      <c r="O15" s="1" t="s">
        <v>60</v>
      </c>
      <c r="P15" s="1" t="s">
        <v>60</v>
      </c>
      <c r="Q15" s="1" t="s">
        <v>60</v>
      </c>
      <c r="R15" s="1" t="s">
        <v>60</v>
      </c>
      <c r="S15" s="1" t="s">
        <v>60</v>
      </c>
      <c r="T15" s="1" t="s">
        <v>60</v>
      </c>
      <c r="U15" s="1" t="s">
        <v>60</v>
      </c>
      <c r="V15" s="1" t="s">
        <v>60</v>
      </c>
      <c r="W15" s="1" t="s">
        <v>60</v>
      </c>
      <c r="X15" s="1" t="s">
        <v>60</v>
      </c>
      <c r="Y15" s="1" t="s">
        <v>60</v>
      </c>
      <c r="Z15" s="1" t="s">
        <v>60</v>
      </c>
      <c r="AA15" s="1" t="s">
        <v>60</v>
      </c>
      <c r="AB15" s="1" t="s">
        <v>60</v>
      </c>
      <c r="AC15" s="1" t="s">
        <v>60</v>
      </c>
      <c r="AD15" s="1" t="s">
        <v>60</v>
      </c>
      <c r="AE15" s="1" t="s">
        <v>60</v>
      </c>
      <c r="AF15" s="1" t="s">
        <v>60</v>
      </c>
      <c r="AG15" s="1" t="s">
        <v>60</v>
      </c>
      <c r="AH15" s="29">
        <f>COUNTA(Décembre[[#This Row],[1]:[31]])</f>
        <v>31</v>
      </c>
    </row>
    <row r="16" spans="2:34" ht="30" customHeight="1">
      <c r="B16" s="35" t="s">
        <v>46</v>
      </c>
      <c r="AG16" s="29"/>
      <c r="AH16" s="29">
        <f>COUNTA(Décembre[[#This Row],[1]:[31]])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10:AG12 C9:F9 J9:M9 C13:F13 J13:AG13 R9:AG9 C14:AG16">
    <cfRule type="expression" dxfId="936" priority="45" stopIfTrue="1">
      <formula>C9="C"</formula>
    </cfRule>
    <cfRule type="expression" dxfId="935" priority="46" stopIfTrue="1">
      <formula>C9="R"</formula>
    </cfRule>
  </conditionalFormatting>
  <conditionalFormatting sqref="AH9:AH16">
    <cfRule type="dataBar" priority="44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{17586780-365B-4F4C-BBB4-F5991705D361}</x14:id>
        </ext>
      </extLst>
    </cfRule>
  </conditionalFormatting>
  <conditionalFormatting sqref="G9:I9">
    <cfRule type="expression" dxfId="934" priority="13" stopIfTrue="1">
      <formula>G9="C"</formula>
    </cfRule>
    <cfRule type="expression" dxfId="933" priority="14" stopIfTrue="1">
      <formula>G9="R"</formula>
    </cfRule>
  </conditionalFormatting>
  <conditionalFormatting sqref="G13:I13">
    <cfRule type="expression" dxfId="932" priority="9" stopIfTrue="1">
      <formula>G13="C"</formula>
    </cfRule>
    <cfRule type="expression" dxfId="931" priority="10" stopIfTrue="1">
      <formula>G13="R"</formula>
    </cfRule>
  </conditionalFormatting>
  <conditionalFormatting sqref="N9">
    <cfRule type="expression" dxfId="930" priority="7" stopIfTrue="1">
      <formula>N9="C"</formula>
    </cfRule>
    <cfRule type="expression" dxfId="929" priority="8" stopIfTrue="1">
      <formula>N9="R"</formula>
    </cfRule>
  </conditionalFormatting>
  <conditionalFormatting sqref="O9">
    <cfRule type="expression" dxfId="928" priority="5" stopIfTrue="1">
      <formula>O9="C"</formula>
    </cfRule>
    <cfRule type="expression" dxfId="927" priority="6" stopIfTrue="1">
      <formula>O9="R"</formula>
    </cfRule>
  </conditionalFormatting>
  <conditionalFormatting sqref="P9">
    <cfRule type="expression" dxfId="926" priority="3" stopIfTrue="1">
      <formula>P9="C"</formula>
    </cfRule>
    <cfRule type="expression" dxfId="925" priority="4" stopIfTrue="1">
      <formula>P9="R"</formula>
    </cfRule>
  </conditionalFormatting>
  <conditionalFormatting sqref="Q9">
    <cfRule type="expression" dxfId="924" priority="1" stopIfTrue="1">
      <formula>Q9="C"</formula>
    </cfRule>
    <cfRule type="expression" dxfId="923" priority="2" stopIfTrue="1">
      <formula>Q9="R"</formula>
    </cfRule>
  </conditionalFormatting>
  <pageMargins left="0.7" right="0.7" top="0.75" bottom="0.75" header="0.3" footer="0.3"/>
  <pageSetup paperSize="9" fitToHeight="0" orientation="portrait" verticalDpi="4294967293" r:id="rId1"/>
  <legacy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7586780-365B-4F4C-BBB4-F5991705D361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62800-A7DC-44A7-B2A8-30116467CE7F}">
  <sheetPr>
    <tabColor theme="7"/>
  </sheetPr>
  <dimension ref="B1:AH16"/>
  <sheetViews>
    <sheetView showGridLines="0" tabSelected="1" topLeftCell="A6" zoomScaleNormal="100" workbookViewId="0">
      <selection activeCell="Z12" sqref="Z12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4" t="s">
        <v>58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CalendarYear+1</f>
        <v>2026</v>
      </c>
    </row>
    <row r="7" spans="2:34" ht="30" customHeight="1">
      <c r="B7" s="4"/>
      <c r="C7" s="17" t="str">
        <f>TEXT(WEEKDAY(DATE(CalendarYear+1,1,1),1),"jjj")</f>
        <v>jeu.</v>
      </c>
      <c r="D7" s="17" t="str">
        <f>TEXT(WEEKDAY(DATE(CalendarYear+1,1,2),1),"jjj")</f>
        <v>ven.</v>
      </c>
      <c r="E7" s="17" t="str">
        <f>TEXT(WEEKDAY(DATE(CalendarYear+1,1,3),1),"jjj")</f>
        <v>sam.</v>
      </c>
      <c r="F7" s="17" t="str">
        <f>TEXT(WEEKDAY(DATE(CalendarYear+1,2,1),1),"jjj")</f>
        <v>dim.</v>
      </c>
      <c r="G7" s="17" t="str">
        <f>TEXT(WEEKDAY(DATE(CalendarYear+1,1,5),1),"jjj")</f>
        <v>lun.</v>
      </c>
      <c r="H7" s="17" t="str">
        <f>TEXT(WEEKDAY(DATE(CalendarYear+1,1,6),1),"jjj")</f>
        <v>mar.</v>
      </c>
      <c r="I7" s="17" t="str">
        <f>TEXT(WEEKDAY(DATE(CalendarYear+1,1,7),1),"jjj")</f>
        <v>mer.</v>
      </c>
      <c r="J7" s="17" t="str">
        <f>TEXT(WEEKDAY(DATE(CalendarYear+1,1,1),1),"jjj")</f>
        <v>jeu.</v>
      </c>
      <c r="K7" s="17" t="str">
        <f>TEXT(WEEKDAY(DATE(CalendarYear+1,1,2),1),"jjj")</f>
        <v>ven.</v>
      </c>
      <c r="L7" s="17" t="str">
        <f>TEXT(WEEKDAY(DATE(CalendarYear+1,1,3),1),"jjj")</f>
        <v>sam.</v>
      </c>
      <c r="M7" s="17" t="str">
        <f>TEXT(WEEKDAY(DATE(CalendarYear+1,2,1),1),"jjj")</f>
        <v>dim.</v>
      </c>
      <c r="N7" s="17" t="str">
        <f>TEXT(WEEKDAY(DATE(CalendarYear+1,1,5),1),"jjj")</f>
        <v>lun.</v>
      </c>
      <c r="O7" s="17" t="str">
        <f>TEXT(WEEKDAY(DATE(CalendarYear+1,1,6),1),"jjj")</f>
        <v>mar.</v>
      </c>
      <c r="P7" s="17" t="str">
        <f>TEXT(WEEKDAY(DATE(CalendarYear+1,1,7),1),"jjj")</f>
        <v>mer.</v>
      </c>
      <c r="Q7" s="17" t="str">
        <f>TEXT(WEEKDAY(DATE(CalendarYear+1,1,1),1),"jjj")</f>
        <v>jeu.</v>
      </c>
      <c r="R7" s="17" t="str">
        <f>TEXT(WEEKDAY(DATE(CalendarYear+1,1,2),1),"jjj")</f>
        <v>ven.</v>
      </c>
      <c r="S7" s="17" t="str">
        <f>TEXT(WEEKDAY(DATE(CalendarYear+1,1,3),1),"jjj")</f>
        <v>sam.</v>
      </c>
      <c r="T7" s="17" t="str">
        <f>TEXT(WEEKDAY(DATE(CalendarYear+1,2,1),1),"jjj")</f>
        <v>dim.</v>
      </c>
      <c r="U7" s="17" t="str">
        <f>TEXT(WEEKDAY(DATE(CalendarYear+1,1,5),1),"jjj")</f>
        <v>lun.</v>
      </c>
      <c r="V7" s="17" t="str">
        <f>TEXT(WEEKDAY(DATE(CalendarYear+1,1,6),1),"jjj")</f>
        <v>mar.</v>
      </c>
      <c r="W7" s="17" t="str">
        <f>TEXT(WEEKDAY(DATE(CalendarYear+1,1,7),1),"jjj")</f>
        <v>mer.</v>
      </c>
      <c r="X7" s="17" t="str">
        <f>TEXT(WEEKDAY(DATE(CalendarYear+1,1,1),1),"jjj")</f>
        <v>jeu.</v>
      </c>
      <c r="Y7" s="17" t="str">
        <f>TEXT(WEEKDAY(DATE(CalendarYear+1,1,2),1),"jjj")</f>
        <v>ven.</v>
      </c>
      <c r="Z7" s="17" t="str">
        <f>TEXT(WEEKDAY(DATE(CalendarYear+1,1,3),1),"jjj")</f>
        <v>sam.</v>
      </c>
      <c r="AA7" s="17" t="str">
        <f>TEXT(WEEKDAY(DATE(CalendarYear+1,2,1),1),"jjj")</f>
        <v>dim.</v>
      </c>
      <c r="AB7" s="17" t="str">
        <f>TEXT(WEEKDAY(DATE(CalendarYear+1,1,5),1),"jjj")</f>
        <v>lun.</v>
      </c>
      <c r="AC7" s="17" t="str">
        <f>TEXT(WEEKDAY(DATE(CalendarYear+1,1,6),1),"jjj")</f>
        <v>mar.</v>
      </c>
      <c r="AD7" s="17" t="str">
        <f>TEXT(WEEKDAY(DATE(CalendarYear+1,1,7),1),"jjj")</f>
        <v>mer.</v>
      </c>
      <c r="AE7" s="17" t="str">
        <f>TEXT(WEEKDAY(DATE(CalendarYear+1,1,1),1),"jjj")</f>
        <v>jeu.</v>
      </c>
      <c r="AF7" s="17" t="str">
        <f>TEXT(WEEKDAY(DATE(CalendarYear+1,1,2),1),"jjj")</f>
        <v>ven.</v>
      </c>
      <c r="AG7" s="17" t="str">
        <f>TEXT(WEEKDAY(DATE(CalendarYear+1,1,3),1),"jjj")</f>
        <v>sam.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 t="s">
        <v>1</v>
      </c>
      <c r="L9" s="1" t="s">
        <v>1</v>
      </c>
      <c r="M9" s="1" t="s">
        <v>1</v>
      </c>
      <c r="N9" s="1" t="s">
        <v>1</v>
      </c>
      <c r="O9" s="1"/>
      <c r="P9" s="1"/>
      <c r="Q9" s="1"/>
      <c r="R9" s="1" t="s">
        <v>1</v>
      </c>
      <c r="S9" s="1" t="s">
        <v>1</v>
      </c>
      <c r="T9" s="1" t="s">
        <v>1</v>
      </c>
      <c r="U9" s="1" t="s">
        <v>1</v>
      </c>
      <c r="V9" s="1"/>
      <c r="W9" s="1"/>
      <c r="X9" s="1"/>
      <c r="Y9" s="1" t="s">
        <v>60</v>
      </c>
      <c r="Z9" s="1" t="s">
        <v>60</v>
      </c>
      <c r="AA9" s="1" t="s">
        <v>60</v>
      </c>
      <c r="AB9" s="1"/>
      <c r="AC9" s="1"/>
      <c r="AD9" s="1"/>
      <c r="AE9" s="1"/>
      <c r="AF9" s="1" t="s">
        <v>1</v>
      </c>
      <c r="AG9" s="1" t="s">
        <v>1</v>
      </c>
      <c r="AH9" s="3">
        <f>COUNTA(Novembre26[[#This Row],[1]:[31]])</f>
        <v>13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COUNTA(Novembre26[[#This Row],[1]:[31]])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COUNTA(Novembre26[[#This Row],[1]:[31]])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COUNTA(Novembre26[[#This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COUNTA(Novembre26[[#This Row],[1]:[31]])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COUNTA(Novembre26[[#This Row],[1]:[31]])</f>
        <v>0</v>
      </c>
    </row>
    <row r="15" spans="2:34" ht="30" customHeight="1">
      <c r="B15" s="2" t="s">
        <v>45</v>
      </c>
      <c r="C15" t="s">
        <v>60</v>
      </c>
      <c r="D15" t="s">
        <v>60</v>
      </c>
      <c r="E15" t="s">
        <v>60</v>
      </c>
      <c r="F15" t="s">
        <v>60</v>
      </c>
      <c r="G15" t="s">
        <v>60</v>
      </c>
      <c r="H15" t="s">
        <v>60</v>
      </c>
      <c r="I15" t="s">
        <v>60</v>
      </c>
      <c r="J15" t="s">
        <v>60</v>
      </c>
      <c r="K15" t="s">
        <v>60</v>
      </c>
      <c r="L15" t="s">
        <v>60</v>
      </c>
      <c r="M15" t="s">
        <v>60</v>
      </c>
      <c r="N15" t="s">
        <v>60</v>
      </c>
      <c r="O15" t="s">
        <v>60</v>
      </c>
      <c r="P15" t="s">
        <v>60</v>
      </c>
      <c r="Q15" t="s">
        <v>60</v>
      </c>
      <c r="R15" t="s">
        <v>60</v>
      </c>
      <c r="S15" t="s">
        <v>60</v>
      </c>
      <c r="T15" t="s">
        <v>60</v>
      </c>
      <c r="U15" t="s">
        <v>60</v>
      </c>
      <c r="V15" t="s">
        <v>60</v>
      </c>
      <c r="W15" t="s">
        <v>60</v>
      </c>
      <c r="X15" t="s">
        <v>60</v>
      </c>
      <c r="Y15" t="s">
        <v>60</v>
      </c>
      <c r="Z15" t="s">
        <v>60</v>
      </c>
      <c r="AA15" t="s">
        <v>60</v>
      </c>
      <c r="AB15" t="s">
        <v>60</v>
      </c>
      <c r="AC15" t="s">
        <v>60</v>
      </c>
      <c r="AD15" t="s">
        <v>60</v>
      </c>
      <c r="AE15" t="s">
        <v>60</v>
      </c>
      <c r="AF15" t="s">
        <v>60</v>
      </c>
      <c r="AG15" t="s">
        <v>60</v>
      </c>
      <c r="AH15" s="29">
        <f>COUNTA(Novembre26[[#This Row],[1]:[31]])</f>
        <v>31</v>
      </c>
    </row>
    <row r="16" spans="2:34" ht="30" customHeight="1">
      <c r="B16" s="35" t="s">
        <v>46</v>
      </c>
      <c r="AG16" s="29"/>
      <c r="AH16" s="29">
        <f>COUNTA(Novembre26[[#This Row],[1]:[31]])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C9 C10:AG16">
    <cfRule type="expression" dxfId="853" priority="4" stopIfTrue="1">
      <formula>C9="C"</formula>
    </cfRule>
    <cfRule type="expression" dxfId="852" priority="5" stopIfTrue="1">
      <formula>C9="R"</formula>
    </cfRule>
  </conditionalFormatting>
  <conditionalFormatting sqref="AH9:AH16">
    <cfRule type="dataBar" priority="3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{1331624F-5C8F-4C96-8B86-1D8A209EF11D}</x14:id>
        </ext>
      </extLst>
    </cfRule>
  </conditionalFormatting>
  <conditionalFormatting sqref="AD9:AG9">
    <cfRule type="expression" dxfId="851" priority="1" stopIfTrue="1">
      <formula>AD9="C"</formula>
    </cfRule>
    <cfRule type="expression" dxfId="850" priority="2" stopIfTrue="1">
      <formula>AD9="R"</formula>
    </cfRule>
  </conditionalFormatting>
  <pageMargins left="0.7" right="0.7" top="0.75" bottom="0.75" header="0.3" footer="0.3"/>
  <pageSetup paperSize="9" fitToHeight="0" orientation="portrait" verticalDpi="4294967293"/>
  <legacyDrawing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331624F-5C8F-4C96-8B86-1D8A209EF11D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82820-B1DB-439E-8338-D20D910F1634}">
  <sheetPr>
    <tabColor theme="7"/>
  </sheetPr>
  <dimension ref="B1:AE16"/>
  <sheetViews>
    <sheetView showGridLines="0" topLeftCell="A7" zoomScaleNormal="100" workbookViewId="0">
      <selection activeCell="G11" sqref="G11"/>
    </sheetView>
  </sheetViews>
  <sheetFormatPr defaultColWidth="8.7109375" defaultRowHeight="30" customHeight="1"/>
  <cols>
    <col min="1" max="1" width="2.7109375" customWidth="1"/>
    <col min="2" max="2" width="30.28515625" customWidth="1"/>
    <col min="3" max="30" width="4.7109375" customWidth="1"/>
    <col min="31" max="31" width="18" customWidth="1"/>
    <col min="32" max="32" width="2.7109375" customWidth="1"/>
  </cols>
  <sheetData>
    <row r="1" spans="2:31" ht="50.1" customHeight="1">
      <c r="B1" s="20"/>
    </row>
    <row r="2" spans="2:31" ht="100.35" customHeight="1">
      <c r="B2" s="24" t="s">
        <v>58</v>
      </c>
    </row>
    <row r="3" spans="2:31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spans="2:31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1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</row>
    <row r="6" spans="2:31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">
        <f>CalendarYear+1</f>
        <v>2026</v>
      </c>
    </row>
    <row r="7" spans="2:31" ht="30" customHeight="1">
      <c r="B7" s="4"/>
      <c r="C7" s="17" t="str">
        <f>TEXT(WEEKDAY(DATE(CalendarYear,11,2),1),"jjj")</f>
        <v>dim.</v>
      </c>
      <c r="D7" s="17" t="str">
        <f>TEXT(WEEKDAY(DATE(CalendarYear,11,3),1),"jjj")</f>
        <v>lun.</v>
      </c>
      <c r="E7" s="17" t="str">
        <f>TEXT(WEEKDAY(DATE(CalendarYear,11,4),1),"jjj")</f>
        <v>mar.</v>
      </c>
      <c r="F7" s="17" t="str">
        <f>TEXT(WEEKDAY(DATE(CalendarYear,11,5),1),"jjj")</f>
        <v>mer.</v>
      </c>
      <c r="G7" s="17" t="str">
        <f>TEXT(WEEKDAY(DATE(CalendarYear,11,6),1),"jjj")</f>
        <v>jeu.</v>
      </c>
      <c r="H7" s="17" t="str">
        <f>TEXT(WEEKDAY(DATE(CalendarYear,11,7),1),"jjj")</f>
        <v>ven.</v>
      </c>
      <c r="I7" s="17" t="str">
        <f>TEXT(WEEKDAY(DATE(CalendarYear,11,8),1),"jjj")</f>
        <v>sam.</v>
      </c>
      <c r="J7" s="17" t="str">
        <f>TEXT(WEEKDAY(DATE(CalendarYear,11,2),1),"jjj")</f>
        <v>dim.</v>
      </c>
      <c r="K7" s="17" t="str">
        <f>TEXT(WEEKDAY(DATE(CalendarYear,11,3),1),"jjj")</f>
        <v>lun.</v>
      </c>
      <c r="L7" s="17" t="str">
        <f>TEXT(WEEKDAY(DATE(CalendarYear,11,4),1),"jjj")</f>
        <v>mar.</v>
      </c>
      <c r="M7" s="17" t="str">
        <f>TEXT(WEEKDAY(DATE(CalendarYear,11,5),1),"jjj")</f>
        <v>mer.</v>
      </c>
      <c r="N7" s="17" t="str">
        <f>TEXT(WEEKDAY(DATE(CalendarYear,11,6),1),"jjj")</f>
        <v>jeu.</v>
      </c>
      <c r="O7" s="17" t="str">
        <f>TEXT(WEEKDAY(DATE(CalendarYear,11,7),1),"jjj")</f>
        <v>ven.</v>
      </c>
      <c r="P7" s="17" t="str">
        <f>TEXT(WEEKDAY(DATE(CalendarYear,11,8),1),"jjj")</f>
        <v>sam.</v>
      </c>
      <c r="Q7" s="17" t="str">
        <f>TEXT(WEEKDAY(DATE(CalendarYear,11,2),1),"jjj")</f>
        <v>dim.</v>
      </c>
      <c r="R7" s="17" t="str">
        <f>TEXT(WEEKDAY(DATE(CalendarYear,11,3),1),"jjj")</f>
        <v>lun.</v>
      </c>
      <c r="S7" s="17" t="str">
        <f>TEXT(WEEKDAY(DATE(CalendarYear,11,4),1),"jjj")</f>
        <v>mar.</v>
      </c>
      <c r="T7" s="17" t="str">
        <f>TEXT(WEEKDAY(DATE(CalendarYear,11,5),1),"jjj")</f>
        <v>mer.</v>
      </c>
      <c r="U7" s="17" t="str">
        <f>TEXT(WEEKDAY(DATE(CalendarYear,11,6),1),"jjj")</f>
        <v>jeu.</v>
      </c>
      <c r="V7" s="17" t="str">
        <f>TEXT(WEEKDAY(DATE(CalendarYear,11,7),1),"jjj")</f>
        <v>ven.</v>
      </c>
      <c r="W7" s="17" t="str">
        <f>TEXT(WEEKDAY(DATE(CalendarYear,11,8),1),"jjj")</f>
        <v>sam.</v>
      </c>
      <c r="X7" s="17" t="str">
        <f>TEXT(WEEKDAY(DATE(CalendarYear,11,2),1),"jjj")</f>
        <v>dim.</v>
      </c>
      <c r="Y7" s="17" t="str">
        <f>TEXT(WEEKDAY(DATE(CalendarYear,11,3),1),"jjj")</f>
        <v>lun.</v>
      </c>
      <c r="Z7" s="17" t="str">
        <f>TEXT(WEEKDAY(DATE(CalendarYear,11,4),1),"jjj")</f>
        <v>mar.</v>
      </c>
      <c r="AA7" s="17" t="str">
        <f>TEXT(WEEKDAY(DATE(CalendarYear,11,5),1),"jjj")</f>
        <v>mer.</v>
      </c>
      <c r="AB7" s="17" t="str">
        <f>TEXT(WEEKDAY(DATE(CalendarYear,11,6),1),"jjj")</f>
        <v>jeu.</v>
      </c>
      <c r="AC7" s="17" t="str">
        <f>TEXT(WEEKDAY(DATE(CalendarYear,11,7),1),"jjj")</f>
        <v>ven.</v>
      </c>
      <c r="AD7" s="17" t="str">
        <f>TEXT(WEEKDAY(DATE(CalendarYear,11,8),1),"jjj")</f>
        <v>sam.</v>
      </c>
      <c r="AE7" s="4"/>
    </row>
    <row r="8" spans="2:31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8" t="s">
        <v>38</v>
      </c>
    </row>
    <row r="9" spans="2:31" ht="30" customHeight="1">
      <c r="B9" s="2" t="s">
        <v>39</v>
      </c>
      <c r="C9" s="1" t="s">
        <v>1</v>
      </c>
      <c r="D9" s="1"/>
      <c r="E9" s="1"/>
      <c r="F9" s="1" t="s">
        <v>1</v>
      </c>
      <c r="G9" s="1" t="s">
        <v>1</v>
      </c>
      <c r="H9" s="1" t="s">
        <v>1</v>
      </c>
      <c r="I9" s="1" t="s">
        <v>1</v>
      </c>
      <c r="J9" s="1" t="s">
        <v>1</v>
      </c>
      <c r="K9" s="1" t="s">
        <v>1</v>
      </c>
      <c r="L9" s="1" t="s">
        <v>1</v>
      </c>
      <c r="M9" s="1" t="s">
        <v>1</v>
      </c>
      <c r="N9" s="1"/>
      <c r="O9" s="1"/>
      <c r="P9" s="1"/>
      <c r="Q9" s="1"/>
      <c r="R9" s="1"/>
      <c r="S9" s="1"/>
      <c r="T9" s="1"/>
      <c r="U9" s="1"/>
      <c r="V9" s="1" t="s">
        <v>1</v>
      </c>
      <c r="W9" s="1" t="s">
        <v>1</v>
      </c>
      <c r="X9" s="1" t="s">
        <v>1</v>
      </c>
      <c r="Y9" s="1"/>
      <c r="Z9" s="1"/>
      <c r="AA9" s="1"/>
      <c r="AB9" s="1"/>
      <c r="AC9" s="1"/>
      <c r="AD9" s="1"/>
      <c r="AE9" s="3">
        <v>4</v>
      </c>
    </row>
    <row r="10" spans="2:31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3">
        <v>0</v>
      </c>
    </row>
    <row r="11" spans="2:31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3">
        <v>0</v>
      </c>
    </row>
    <row r="12" spans="2:31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">
        <v>0</v>
      </c>
    </row>
    <row r="13" spans="2:31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3">
        <v>0</v>
      </c>
    </row>
    <row r="14" spans="2:31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3">
        <v>0</v>
      </c>
    </row>
    <row r="15" spans="2:31" ht="30" customHeight="1">
      <c r="B15" s="2" t="s">
        <v>45</v>
      </c>
      <c r="AE15" s="29">
        <v>0</v>
      </c>
    </row>
    <row r="16" spans="2:31" ht="30" customHeight="1">
      <c r="B16" s="35" t="s">
        <v>46</v>
      </c>
      <c r="AE16" s="29">
        <v>0</v>
      </c>
    </row>
  </sheetData>
  <mergeCells count="6">
    <mergeCell ref="C6:AD6"/>
    <mergeCell ref="D4:E4"/>
    <mergeCell ref="G4:I4"/>
    <mergeCell ref="K4:L4"/>
    <mergeCell ref="O4:R4"/>
    <mergeCell ref="T4:W4"/>
  </mergeCells>
  <phoneticPr fontId="30" type="noConversion"/>
  <conditionalFormatting sqref="C10:AD16 O9:AD9">
    <cfRule type="expression" dxfId="780" priority="8" stopIfTrue="1">
      <formula>C9="C"</formula>
    </cfRule>
    <cfRule type="expression" dxfId="779" priority="9" stopIfTrue="1">
      <formula>C9="R"</formula>
    </cfRule>
  </conditionalFormatting>
  <conditionalFormatting sqref="AE9:AE16">
    <cfRule type="dataBar" priority="7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{9F0D0083-CEC9-4D50-B457-53BC81185CB0}</x14:id>
        </ext>
      </extLst>
    </cfRule>
  </conditionalFormatting>
  <conditionalFormatting sqref="C9:F9">
    <cfRule type="expression" dxfId="778" priority="5" stopIfTrue="1">
      <formula>C9="C"</formula>
    </cfRule>
    <cfRule type="expression" dxfId="777" priority="6" stopIfTrue="1">
      <formula>C9="R"</formula>
    </cfRule>
  </conditionalFormatting>
  <conditionalFormatting sqref="G9:J9">
    <cfRule type="expression" dxfId="776" priority="3" stopIfTrue="1">
      <formula>G9="C"</formula>
    </cfRule>
    <cfRule type="expression" dxfId="775" priority="4" stopIfTrue="1">
      <formula>G9="R"</formula>
    </cfRule>
  </conditionalFormatting>
  <conditionalFormatting sqref="K9:N9">
    <cfRule type="expression" dxfId="774" priority="1" stopIfTrue="1">
      <formula>K9="C"</formula>
    </cfRule>
    <cfRule type="expression" dxfId="773" priority="2" stopIfTrue="1">
      <formula>K9="R"</formula>
    </cfRule>
  </conditionalFormatting>
  <pageMargins left="0.7" right="0.7" top="0.75" bottom="0.75" header="0.3" footer="0.3"/>
  <pageSetup paperSize="9" fitToHeight="0" orientation="portrait" verticalDpi="4294967293"/>
  <legacyDrawing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F0D0083-CEC9-4D50-B457-53BC81185CB0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AE9:AE16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5DF15-248D-4DAD-A81F-0FAB903294C6}">
  <sheetPr>
    <tabColor theme="7"/>
  </sheetPr>
  <dimension ref="B1:AH16"/>
  <sheetViews>
    <sheetView showGridLines="0" topLeftCell="A6" zoomScaleNormal="100" workbookViewId="0">
      <selection activeCell="C7" sqref="C7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4" t="s">
        <v>58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CalendarYear+1</f>
        <v>2026</v>
      </c>
    </row>
    <row r="7" spans="2:34" ht="30" customHeight="1">
      <c r="B7" s="4"/>
      <c r="C7" s="17" t="str">
        <f>TEXT(WEEKDAY(DATE(CalendarYear,11,2),1),"jjj")</f>
        <v>dim.</v>
      </c>
      <c r="D7" s="17" t="str">
        <f>TEXT(WEEKDAY(DATE(CalendarYear,11,3),1),"jjj")</f>
        <v>lun.</v>
      </c>
      <c r="E7" s="17" t="str">
        <f>TEXT(WEEKDAY(DATE(CalendarYear,11,4),1),"jjj")</f>
        <v>mar.</v>
      </c>
      <c r="F7" s="17" t="str">
        <f>TEXT(WEEKDAY(DATE(CalendarYear,11,5),1),"jjj")</f>
        <v>mer.</v>
      </c>
      <c r="G7" s="17" t="str">
        <f>TEXT(WEEKDAY(DATE(CalendarYear,11,6),1),"jjj")</f>
        <v>jeu.</v>
      </c>
      <c r="H7" s="17" t="str">
        <f>TEXT(WEEKDAY(DATE(CalendarYear,11,7),1),"jjj")</f>
        <v>ven.</v>
      </c>
      <c r="I7" s="17" t="str">
        <f>TEXT(WEEKDAY(DATE(CalendarYear,11,8),1),"jjj")</f>
        <v>sam.</v>
      </c>
      <c r="J7" s="17" t="str">
        <f>TEXT(WEEKDAY(DATE(CalendarYear,11,2),1),"jjj")</f>
        <v>dim.</v>
      </c>
      <c r="K7" s="17" t="str">
        <f>TEXT(WEEKDAY(DATE(CalendarYear,11,3),1),"jjj")</f>
        <v>lun.</v>
      </c>
      <c r="L7" s="17" t="str">
        <f>TEXT(WEEKDAY(DATE(CalendarYear,11,4),1),"jjj")</f>
        <v>mar.</v>
      </c>
      <c r="M7" s="17" t="str">
        <f>TEXT(WEEKDAY(DATE(CalendarYear,11,5),1),"jjj")</f>
        <v>mer.</v>
      </c>
      <c r="N7" s="17" t="str">
        <f>TEXT(WEEKDAY(DATE(CalendarYear,11,6),1),"jjj")</f>
        <v>jeu.</v>
      </c>
      <c r="O7" s="17" t="str">
        <f>TEXT(WEEKDAY(DATE(CalendarYear,11,7),1),"jjj")</f>
        <v>ven.</v>
      </c>
      <c r="P7" s="17" t="str">
        <f>TEXT(WEEKDAY(DATE(CalendarYear,11,8),1),"jjj")</f>
        <v>sam.</v>
      </c>
      <c r="Q7" s="17" t="str">
        <f>TEXT(WEEKDAY(DATE(CalendarYear,11,2),1),"jjj")</f>
        <v>dim.</v>
      </c>
      <c r="R7" s="17" t="str">
        <f>TEXT(WEEKDAY(DATE(CalendarYear,11,3),1),"jjj")</f>
        <v>lun.</v>
      </c>
      <c r="S7" s="17" t="str">
        <f>TEXT(WEEKDAY(DATE(CalendarYear,11,4),1),"jjj")</f>
        <v>mar.</v>
      </c>
      <c r="T7" s="17" t="str">
        <f>TEXT(WEEKDAY(DATE(CalendarYear,11,5),1),"jjj")</f>
        <v>mer.</v>
      </c>
      <c r="U7" s="17" t="str">
        <f>TEXT(WEEKDAY(DATE(CalendarYear,11,6),1),"jjj")</f>
        <v>jeu.</v>
      </c>
      <c r="V7" s="17" t="str">
        <f>TEXT(WEEKDAY(DATE(CalendarYear,11,7),1),"jjj")</f>
        <v>ven.</v>
      </c>
      <c r="W7" s="17" t="str">
        <f>TEXT(WEEKDAY(DATE(CalendarYear,11,8),1),"jjj")</f>
        <v>sam.</v>
      </c>
      <c r="X7" s="17" t="str">
        <f>TEXT(WEEKDAY(DATE(CalendarYear,11,2),1),"jjj")</f>
        <v>dim.</v>
      </c>
      <c r="Y7" s="17" t="str">
        <f>TEXT(WEEKDAY(DATE(CalendarYear,11,3),1),"jjj")</f>
        <v>lun.</v>
      </c>
      <c r="Z7" s="17" t="str">
        <f>TEXT(WEEKDAY(DATE(CalendarYear,11,4),1),"jjj")</f>
        <v>mar.</v>
      </c>
      <c r="AA7" s="17" t="str">
        <f>TEXT(WEEKDAY(DATE(CalendarYear,11,5),1),"jjj")</f>
        <v>mer.</v>
      </c>
      <c r="AB7" s="17" t="str">
        <f>TEXT(WEEKDAY(DATE(CalendarYear,11,6),1),"jjj")</f>
        <v>jeu.</v>
      </c>
      <c r="AC7" s="17" t="str">
        <f>TEXT(WEEKDAY(DATE(CalendarYear,11,7),1),"jjj")</f>
        <v>ven.</v>
      </c>
      <c r="AD7" s="17" t="str">
        <f>TEXT(WEEKDAY(DATE(CalendarYear,11,8),1),"jjj")</f>
        <v>sam.</v>
      </c>
      <c r="AE7" s="17" t="str">
        <f>TEXT(WEEKDAY(DATE(CalendarYear,11,2),1),"jjj")</f>
        <v>dim.</v>
      </c>
      <c r="AF7" s="17" t="str">
        <f>TEXT(WEEKDAY(DATE(CalendarYear,11,3),1),"jjj")</f>
        <v>lun.</v>
      </c>
      <c r="AG7" s="17" t="str">
        <f>TEXT(WEEKDAY(DATE(CalendarYear,11,4),1),"jjj")</f>
        <v>mar.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COUNTA(Novembre271011[[#This Row],[1]:[31]])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COUNTA(Novembre271011[[#This Row],[1]:[31]])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COUNTA(Novembre271011[[#This Row],[1]:[31]])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COUNTA(Novembre271011[[#This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COUNTA(Novembre271011[[#This Row],[1]:[31]])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COUNTA(Novembre271011[[#This Row],[1]:[31]])</f>
        <v>0</v>
      </c>
    </row>
    <row r="15" spans="2:34" ht="30" customHeight="1">
      <c r="B15" s="2" t="s">
        <v>45</v>
      </c>
      <c r="AG15" s="29"/>
      <c r="AH15" s="29">
        <f>COUNTA(Novembre271011[[#This Row],[1]:[31]])</f>
        <v>0</v>
      </c>
    </row>
    <row r="16" spans="2:34" ht="30" customHeight="1">
      <c r="B16" s="35" t="s">
        <v>46</v>
      </c>
      <c r="AG16" s="29"/>
      <c r="AH16" s="29">
        <f>COUNTA(Novembre271011[[#This Row],[1]:[31]])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709" priority="2" stopIfTrue="1">
      <formula>C9="C"</formula>
    </cfRule>
    <cfRule type="expression" dxfId="708" priority="3" stopIfTrue="1">
      <formula>C9="R"</formula>
    </cfRule>
  </conditionalFormatting>
  <conditionalFormatting sqref="AH9:AH16">
    <cfRule type="dataBar" priority="1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{3AC3469A-8F02-463D-8F23-ABAB912F88B9}</x14:id>
        </ext>
      </extLst>
    </cfRule>
  </conditionalFormatting>
  <pageMargins left="0.7" right="0.7" top="0.75" bottom="0.75" header="0.3" footer="0.3"/>
  <pageSetup paperSize="9" fitToHeight="0" orientation="portrait" verticalDpi="429496729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AC3469A-8F02-463D-8F23-ABAB912F88B9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D8899-3433-4106-A855-5E8BEA30841A}">
  <sheetPr>
    <tabColor theme="7"/>
  </sheetPr>
  <dimension ref="B1:AH16"/>
  <sheetViews>
    <sheetView showGridLines="0" topLeftCell="A4" zoomScaleNormal="100" workbookViewId="0">
      <selection activeCell="C7" sqref="C7:AF7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4" t="s">
        <v>58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CalendarYear+1</f>
        <v>2026</v>
      </c>
    </row>
    <row r="7" spans="2:34" ht="30" customHeight="1">
      <c r="B7" s="4"/>
      <c r="C7" s="17" t="str">
        <f>TEXT(WEEKDAY(DATE(CalendarYear,11,5),1),"jjj")</f>
        <v>mer.</v>
      </c>
      <c r="D7" s="17" t="str">
        <f>TEXT(WEEKDAY(DATE(CalendarYear,11,6),1),"jjj")</f>
        <v>jeu.</v>
      </c>
      <c r="E7" s="17" t="str">
        <f>TEXT(WEEKDAY(DATE(CalendarYear,11,7),1),"jjj")</f>
        <v>ven.</v>
      </c>
      <c r="F7" s="17" t="str">
        <f>TEXT(WEEKDAY(DATE(CalendarYear,11,8),1),"jjj")</f>
        <v>sam.</v>
      </c>
      <c r="G7" s="17" t="str">
        <f>TEXT(WEEKDAY(DATE(CalendarYear,11,9),1),"jjj")</f>
        <v>dim.</v>
      </c>
      <c r="H7" s="17" t="str">
        <f>TEXT(WEEKDAY(DATE(CalendarYear,11,10),1),"jjj")</f>
        <v>lun.</v>
      </c>
      <c r="I7" s="17" t="str">
        <f>TEXT(WEEKDAY(DATE(CalendarYear,11,11),1),"jjj")</f>
        <v>mar.</v>
      </c>
      <c r="J7" s="17" t="str">
        <f>TEXT(WEEKDAY(DATE(CalendarYear,11,5),1),"jjj")</f>
        <v>mer.</v>
      </c>
      <c r="K7" s="17" t="str">
        <f>TEXT(WEEKDAY(DATE(CalendarYear,11,6),1),"jjj")</f>
        <v>jeu.</v>
      </c>
      <c r="L7" s="17" t="str">
        <f>TEXT(WEEKDAY(DATE(CalendarYear,11,7),1),"jjj")</f>
        <v>ven.</v>
      </c>
      <c r="M7" s="17" t="str">
        <f>TEXT(WEEKDAY(DATE(CalendarYear,11,8),1),"jjj")</f>
        <v>sam.</v>
      </c>
      <c r="N7" s="17" t="str">
        <f>TEXT(WEEKDAY(DATE(CalendarYear,11,9),1),"jjj")</f>
        <v>dim.</v>
      </c>
      <c r="O7" s="17" t="str">
        <f>TEXT(WEEKDAY(DATE(CalendarYear,11,10),1),"jjj")</f>
        <v>lun.</v>
      </c>
      <c r="P7" s="17" t="str">
        <f>TEXT(WEEKDAY(DATE(CalendarYear,11,11),1),"jjj")</f>
        <v>mar.</v>
      </c>
      <c r="Q7" s="17" t="str">
        <f>TEXT(WEEKDAY(DATE(CalendarYear,11,5),1),"jjj")</f>
        <v>mer.</v>
      </c>
      <c r="R7" s="17" t="str">
        <f>TEXT(WEEKDAY(DATE(CalendarYear,11,6),1),"jjj")</f>
        <v>jeu.</v>
      </c>
      <c r="S7" s="17" t="str">
        <f>TEXT(WEEKDAY(DATE(CalendarYear,11,7),1),"jjj")</f>
        <v>ven.</v>
      </c>
      <c r="T7" s="17" t="str">
        <f>TEXT(WEEKDAY(DATE(CalendarYear,11,8),1),"jjj")</f>
        <v>sam.</v>
      </c>
      <c r="U7" s="17" t="str">
        <f>TEXT(WEEKDAY(DATE(CalendarYear,11,9),1),"jjj")</f>
        <v>dim.</v>
      </c>
      <c r="V7" s="17" t="str">
        <f>TEXT(WEEKDAY(DATE(CalendarYear,11,10),1),"jjj")</f>
        <v>lun.</v>
      </c>
      <c r="W7" s="17" t="str">
        <f>TEXT(WEEKDAY(DATE(CalendarYear,11,11),1),"jjj")</f>
        <v>mar.</v>
      </c>
      <c r="X7" s="17" t="str">
        <f>TEXT(WEEKDAY(DATE(CalendarYear,11,5),1),"jjj")</f>
        <v>mer.</v>
      </c>
      <c r="Y7" s="17" t="str">
        <f>TEXT(WEEKDAY(DATE(CalendarYear,11,6),1),"jjj")</f>
        <v>jeu.</v>
      </c>
      <c r="Z7" s="17" t="str">
        <f>TEXT(WEEKDAY(DATE(CalendarYear,11,7),1),"jjj")</f>
        <v>ven.</v>
      </c>
      <c r="AA7" s="17" t="str">
        <f>TEXT(WEEKDAY(DATE(CalendarYear,11,8),1),"jjj")</f>
        <v>sam.</v>
      </c>
      <c r="AB7" s="17" t="str">
        <f>TEXT(WEEKDAY(DATE(CalendarYear,11,9),1),"jjj")</f>
        <v>dim.</v>
      </c>
      <c r="AC7" s="17" t="str">
        <f>TEXT(WEEKDAY(DATE(CalendarYear,11,10),1),"jjj")</f>
        <v>lun.</v>
      </c>
      <c r="AD7" s="17" t="str">
        <f>TEXT(WEEKDAY(DATE(CalendarYear,11,11),1),"jjj")</f>
        <v>mar.</v>
      </c>
      <c r="AE7" s="17" t="str">
        <f>TEXT(WEEKDAY(DATE(CalendarYear,11,5),1),"jjj")</f>
        <v>mer.</v>
      </c>
      <c r="AF7" s="17" t="str">
        <f>TEXT(WEEKDAY(DATE(CalendarYear,11,6),1),"jjj")</f>
        <v>jeu.</v>
      </c>
      <c r="AG7" s="17"/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48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COUNTA(Novembre2710[[#This Row],[1]:[ 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COUNTA(Novembre2710[[#This Row],[1]:[ 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COUNTA(Novembre2710[[#This Row],[1]:[ 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COUNTA(Novembre2710[[#This Row],[1]:[ 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COUNTA(Novembre2710[[#This Row],[1]:[ 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COUNTA(Novembre2710[[#This Row],[1]:[ ]])</f>
        <v>0</v>
      </c>
    </row>
    <row r="15" spans="2:34" ht="30" customHeight="1">
      <c r="B15" s="2" t="s">
        <v>45</v>
      </c>
      <c r="AG15" s="29"/>
      <c r="AH15" s="29">
        <f>COUNTA(Novembre2710[[#This Row],[1]:[ ]])</f>
        <v>0</v>
      </c>
    </row>
    <row r="16" spans="2:34" ht="30" customHeight="1">
      <c r="B16" s="35" t="s">
        <v>46</v>
      </c>
      <c r="AG16" s="29"/>
      <c r="AH16" s="29">
        <f>COUNTA(Novembre2710[[#This Row],[1]:[ 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638" priority="2" stopIfTrue="1">
      <formula>C9="C"</formula>
    </cfRule>
    <cfRule type="expression" dxfId="637" priority="3" stopIfTrue="1">
      <formula>C9="R"</formula>
    </cfRule>
  </conditionalFormatting>
  <conditionalFormatting sqref="AH9:AH16">
    <cfRule type="dataBar" priority="1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{374919B2-2F26-48A9-B9E1-4E564A8959F1}</x14:id>
        </ext>
      </extLst>
    </cfRule>
  </conditionalFormatting>
  <pageMargins left="0.7" right="0.7" top="0.75" bottom="0.75" header="0.3" footer="0.3"/>
  <pageSetup paperSize="9" fitToHeight="0" orientation="portrait" verticalDpi="429496729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74919B2-2F26-48A9-B9E1-4E564A8959F1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F35E2-5402-4B09-AC1C-965E26167001}">
  <sheetPr>
    <tabColor theme="7"/>
  </sheetPr>
  <dimension ref="B1:AH16"/>
  <sheetViews>
    <sheetView showGridLines="0" topLeftCell="A5" zoomScaleNormal="100" workbookViewId="0">
      <selection activeCell="C7" sqref="C7:AG7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4" t="s">
        <v>58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CalendarYear+1</f>
        <v>2026</v>
      </c>
    </row>
    <row r="7" spans="2:34" ht="30" customHeight="1">
      <c r="B7" s="4"/>
      <c r="C7" s="17" t="str">
        <f>TEXT(WEEKDAY(DATE(CalendarYear,11,7),1),"jjj")</f>
        <v>ven.</v>
      </c>
      <c r="D7" s="17" t="str">
        <f>TEXT(WEEKDAY(DATE(CalendarYear,11,8),1),"jjj")</f>
        <v>sam.</v>
      </c>
      <c r="E7" s="17" t="str">
        <f>TEXT(WEEKDAY(DATE(CalendarYear,11,9),1),"jjj")</f>
        <v>dim.</v>
      </c>
      <c r="F7" s="17" t="str">
        <f>TEXT(WEEKDAY(DATE(CalendarYear,11,10),1),"jjj")</f>
        <v>lun.</v>
      </c>
      <c r="G7" s="17" t="str">
        <f>TEXT(WEEKDAY(DATE(CalendarYear,11,11),1),"jjj")</f>
        <v>mar.</v>
      </c>
      <c r="H7" s="17" t="str">
        <f>TEXT(WEEKDAY(DATE(CalendarYear,11,12),1),"jjj")</f>
        <v>mer.</v>
      </c>
      <c r="I7" s="17" t="str">
        <f>TEXT(WEEKDAY(DATE(CalendarYear,11,13),1),"jjj")</f>
        <v>jeu.</v>
      </c>
      <c r="J7" s="17" t="str">
        <f>TEXT(WEEKDAY(DATE(CalendarYear,11,7),1),"jjj")</f>
        <v>ven.</v>
      </c>
      <c r="K7" s="17" t="str">
        <f>TEXT(WEEKDAY(DATE(CalendarYear,11,8),1),"jjj")</f>
        <v>sam.</v>
      </c>
      <c r="L7" s="17" t="str">
        <f>TEXT(WEEKDAY(DATE(CalendarYear,11,9),1),"jjj")</f>
        <v>dim.</v>
      </c>
      <c r="M7" s="17" t="str">
        <f>TEXT(WEEKDAY(DATE(CalendarYear,11,10),1),"jjj")</f>
        <v>lun.</v>
      </c>
      <c r="N7" s="17" t="str">
        <f>TEXT(WEEKDAY(DATE(CalendarYear,11,11),1),"jjj")</f>
        <v>mar.</v>
      </c>
      <c r="O7" s="17" t="str">
        <f>TEXT(WEEKDAY(DATE(CalendarYear,11,12),1),"jjj")</f>
        <v>mer.</v>
      </c>
      <c r="P7" s="17" t="str">
        <f>TEXT(WEEKDAY(DATE(CalendarYear,11,13),1),"jjj")</f>
        <v>jeu.</v>
      </c>
      <c r="Q7" s="17" t="str">
        <f>TEXT(WEEKDAY(DATE(CalendarYear,11,7),1),"jjj")</f>
        <v>ven.</v>
      </c>
      <c r="R7" s="17" t="str">
        <f>TEXT(WEEKDAY(DATE(CalendarYear,11,8),1),"jjj")</f>
        <v>sam.</v>
      </c>
      <c r="S7" s="17" t="str">
        <f>TEXT(WEEKDAY(DATE(CalendarYear,11,9),1),"jjj")</f>
        <v>dim.</v>
      </c>
      <c r="T7" s="17" t="str">
        <f>TEXT(WEEKDAY(DATE(CalendarYear,11,10),1),"jjj")</f>
        <v>lun.</v>
      </c>
      <c r="U7" s="17" t="str">
        <f>TEXT(WEEKDAY(DATE(CalendarYear,11,11),1),"jjj")</f>
        <v>mar.</v>
      </c>
      <c r="V7" s="17" t="str">
        <f>TEXT(WEEKDAY(DATE(CalendarYear,11,12),1),"jjj")</f>
        <v>mer.</v>
      </c>
      <c r="W7" s="17" t="str">
        <f>TEXT(WEEKDAY(DATE(CalendarYear,11,13),1),"jjj")</f>
        <v>jeu.</v>
      </c>
      <c r="X7" s="17" t="str">
        <f>TEXT(WEEKDAY(DATE(CalendarYear,11,7),1),"jjj")</f>
        <v>ven.</v>
      </c>
      <c r="Y7" s="17" t="str">
        <f>TEXT(WEEKDAY(DATE(CalendarYear,11,8),1),"jjj")</f>
        <v>sam.</v>
      </c>
      <c r="Z7" s="17" t="str">
        <f>TEXT(WEEKDAY(DATE(CalendarYear,11,9),1),"jjj")</f>
        <v>dim.</v>
      </c>
      <c r="AA7" s="17" t="str">
        <f>TEXT(WEEKDAY(DATE(CalendarYear,11,10),1),"jjj")</f>
        <v>lun.</v>
      </c>
      <c r="AB7" s="17" t="str">
        <f>TEXT(WEEKDAY(DATE(CalendarYear,11,11),1),"jjj")</f>
        <v>mar.</v>
      </c>
      <c r="AC7" s="17" t="str">
        <f>TEXT(WEEKDAY(DATE(CalendarYear,11,12),1),"jjj")</f>
        <v>mer.</v>
      </c>
      <c r="AD7" s="17" t="str">
        <f>TEXT(WEEKDAY(DATE(CalendarYear,11,13),1),"jjj")</f>
        <v>jeu.</v>
      </c>
      <c r="AE7" s="17" t="str">
        <f>TEXT(WEEKDAY(DATE(CalendarYear,11,7),1),"jjj")</f>
        <v>ven.</v>
      </c>
      <c r="AF7" s="17" t="str">
        <f>TEXT(WEEKDAY(DATE(CalendarYear,11,8),1),"jjj")</f>
        <v>sam.</v>
      </c>
      <c r="AG7" s="17" t="str">
        <f>TEXT(WEEKDAY(DATE(CalendarYear,11,9),1),"jjj")</f>
        <v>dim.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COUNTA(Novembre27[[#This Row],[1]:[31]])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COUNTA(Novembre27[[#This Row],[1]:[31]])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COUNTA(Novembre27[[#This Row],[1]:[31]])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COUNTA(Novembre27[[#This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COUNTA(Novembre27[[#This Row],[1]:[31]])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COUNTA(Novembre27[[#This Row],[1]:[31]])</f>
        <v>0</v>
      </c>
    </row>
    <row r="15" spans="2:34" ht="30" customHeight="1">
      <c r="B15" s="2" t="s">
        <v>45</v>
      </c>
      <c r="AG15" s="29"/>
      <c r="AH15" s="29">
        <f>COUNTA(Novembre27[[#This Row],[1]:[31]])</f>
        <v>0</v>
      </c>
    </row>
    <row r="16" spans="2:34" ht="30" customHeight="1">
      <c r="B16" s="35" t="s">
        <v>46</v>
      </c>
      <c r="AG16" s="29"/>
      <c r="AH16" s="29">
        <f>COUNTA(Novembre27[[#This Row],[1]:[31]])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567" priority="2" stopIfTrue="1">
      <formula>C9="C"</formula>
    </cfRule>
    <cfRule type="expression" dxfId="566" priority="3" stopIfTrue="1">
      <formula>C9="R"</formula>
    </cfRule>
  </conditionalFormatting>
  <conditionalFormatting sqref="AH9:AH16">
    <cfRule type="dataBar" priority="1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{22E92746-A78F-45E7-8013-DA530CB87C46}</x14:id>
        </ext>
      </extLst>
    </cfRule>
  </conditionalFormatting>
  <pageMargins left="0.7" right="0.7" top="0.75" bottom="0.75" header="0.3" footer="0.3"/>
  <pageSetup paperSize="9" fitToHeight="0" orientation="portrait" verticalDpi="429496729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2E92746-A78F-45E7-8013-DA530CB87C46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CC6AA-E5BD-496D-9839-ABBBA8DDB9A7}">
  <sheetPr>
    <tabColor theme="7"/>
  </sheetPr>
  <dimension ref="B1:AH16"/>
  <sheetViews>
    <sheetView showGridLines="0" topLeftCell="A4" zoomScaleNormal="100" workbookViewId="0">
      <selection activeCell="C6" sqref="C6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4" t="s">
        <v>58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CalendarYear+1</f>
        <v>2026</v>
      </c>
    </row>
    <row r="7" spans="2:34" ht="30" customHeight="1">
      <c r="B7" s="4"/>
      <c r="C7" s="17" t="str">
        <f>TEXT(WEEKDAY(DATE(CalendarYear,11,3),1),"jjj")</f>
        <v>lun.</v>
      </c>
      <c r="D7" s="17" t="str">
        <f>TEXT(WEEKDAY(DATE(CalendarYear,11,4),1),"jjj")</f>
        <v>mar.</v>
      </c>
      <c r="E7" s="17" t="str">
        <f>TEXT(WEEKDAY(DATE(CalendarYear,11,5),1),"jjj")</f>
        <v>mer.</v>
      </c>
      <c r="F7" s="17" t="str">
        <f>TEXT(WEEKDAY(DATE(CalendarYear,11,6),1),"jjj")</f>
        <v>jeu.</v>
      </c>
      <c r="G7" s="17" t="str">
        <f>TEXT(WEEKDAY(DATE(CalendarYear,11,7),1),"jjj")</f>
        <v>ven.</v>
      </c>
      <c r="H7" s="17" t="str">
        <f>TEXT(WEEKDAY(DATE(CalendarYear,11,8),1),"jjj")</f>
        <v>sam.</v>
      </c>
      <c r="I7" s="17" t="str">
        <f>TEXT(WEEKDAY(DATE(CalendarYear,11,9),1),"jjj")</f>
        <v>dim.</v>
      </c>
      <c r="J7" s="17" t="str">
        <f>TEXT(WEEKDAY(DATE(CalendarYear,11,3),1),"jjj")</f>
        <v>lun.</v>
      </c>
      <c r="K7" s="17" t="str">
        <f>TEXT(WEEKDAY(DATE(CalendarYear,11,4),1),"jjj")</f>
        <v>mar.</v>
      </c>
      <c r="L7" s="17" t="str">
        <f>TEXT(WEEKDAY(DATE(CalendarYear,11,5),1),"jjj")</f>
        <v>mer.</v>
      </c>
      <c r="M7" s="17" t="str">
        <f>TEXT(WEEKDAY(DATE(CalendarYear,11,6),1),"jjj")</f>
        <v>jeu.</v>
      </c>
      <c r="N7" s="17" t="str">
        <f>TEXT(WEEKDAY(DATE(CalendarYear,11,7),1),"jjj")</f>
        <v>ven.</v>
      </c>
      <c r="O7" s="17" t="str">
        <f>TEXT(WEEKDAY(DATE(CalendarYear,11,8),1),"jjj")</f>
        <v>sam.</v>
      </c>
      <c r="P7" s="17" t="str">
        <f>TEXT(WEEKDAY(DATE(CalendarYear,11,9),1),"jjj")</f>
        <v>dim.</v>
      </c>
      <c r="Q7" s="17" t="str">
        <f>TEXT(WEEKDAY(DATE(CalendarYear,11,3),1),"jjj")</f>
        <v>lun.</v>
      </c>
      <c r="R7" s="17" t="str">
        <f>TEXT(WEEKDAY(DATE(CalendarYear,11,4),1),"jjj")</f>
        <v>mar.</v>
      </c>
      <c r="S7" s="17" t="str">
        <f>TEXT(WEEKDAY(DATE(CalendarYear,11,5),1),"jjj")</f>
        <v>mer.</v>
      </c>
      <c r="T7" s="17" t="str">
        <f>TEXT(WEEKDAY(DATE(CalendarYear,11,6),1),"jjj")</f>
        <v>jeu.</v>
      </c>
      <c r="U7" s="17" t="str">
        <f>TEXT(WEEKDAY(DATE(CalendarYear,11,7),1),"jjj")</f>
        <v>ven.</v>
      </c>
      <c r="V7" s="17" t="str">
        <f>TEXT(WEEKDAY(DATE(CalendarYear,11,8),1),"jjj")</f>
        <v>sam.</v>
      </c>
      <c r="W7" s="17" t="str">
        <f>TEXT(WEEKDAY(DATE(CalendarYear,11,9),1),"jjj")</f>
        <v>dim.</v>
      </c>
      <c r="X7" s="17" t="str">
        <f>TEXT(WEEKDAY(DATE(CalendarYear,11,3),1),"jjj")</f>
        <v>lun.</v>
      </c>
      <c r="Y7" s="17" t="str">
        <f>TEXT(WEEKDAY(DATE(CalendarYear,11,4),1),"jjj")</f>
        <v>mar.</v>
      </c>
      <c r="Z7" s="17" t="str">
        <f>TEXT(WEEKDAY(DATE(CalendarYear,11,5),1),"jjj")</f>
        <v>mer.</v>
      </c>
      <c r="AA7" s="17" t="str">
        <f>TEXT(WEEKDAY(DATE(CalendarYear,11,6),1),"jjj")</f>
        <v>jeu.</v>
      </c>
      <c r="AB7" s="17" t="str">
        <f>TEXT(WEEKDAY(DATE(CalendarYear,11,7),1),"jjj")</f>
        <v>ven.</v>
      </c>
      <c r="AC7" s="17" t="str">
        <f>TEXT(WEEKDAY(DATE(CalendarYear,11,8),1),"jjj")</f>
        <v>sam.</v>
      </c>
      <c r="AD7" s="17" t="str">
        <f>TEXT(WEEKDAY(DATE(CalendarYear,11,9),1),"jjj")</f>
        <v>dim.</v>
      </c>
      <c r="AE7" s="17" t="str">
        <f>TEXT(WEEKDAY(DATE(CalendarYear,11,3),1),"jjj")</f>
        <v>lun.</v>
      </c>
      <c r="AF7" s="17" t="str">
        <f>TEXT(WEEKDAY(DATE(CalendarYear,11,4),1),"jjj")</f>
        <v>mar.</v>
      </c>
      <c r="AG7" s="17"/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48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COUNTA(Novembre2[[#This Row],[1]:[ 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COUNTA(Novembre2[[#This Row],[1]:[ 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COUNTA(Novembre2[[#This Row],[1]:[ 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COUNTA(Novembre2[[#This Row],[1]:[ 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COUNTA(Novembre2[[#This Row],[1]:[ 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COUNTA(Novembre2[[#This Row],[1]:[ ]])</f>
        <v>0</v>
      </c>
    </row>
    <row r="15" spans="2:34" ht="30" customHeight="1">
      <c r="B15" s="2" t="s">
        <v>45</v>
      </c>
      <c r="AG15" s="29"/>
      <c r="AH15" s="29">
        <f>COUNTA(Novembre2[[#This Row],[1]:[ ]])</f>
        <v>0</v>
      </c>
    </row>
    <row r="16" spans="2:34" ht="30" customHeight="1">
      <c r="B16" s="35" t="s">
        <v>46</v>
      </c>
      <c r="AG16" s="29"/>
      <c r="AH16" s="29">
        <f>COUNTA(Novembre2[[#This Row],[1]:[ 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496" priority="2" stopIfTrue="1">
      <formula>C9="C"</formula>
    </cfRule>
    <cfRule type="expression" dxfId="495" priority="3" stopIfTrue="1">
      <formula>C9="R"</formula>
    </cfRule>
  </conditionalFormatting>
  <conditionalFormatting sqref="AH9:AH16">
    <cfRule type="dataBar" priority="1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{7C7489A6-DA30-43EE-A9B5-BE255536A72B}</x14:id>
        </ext>
      </extLst>
    </cfRule>
  </conditionalFormatting>
  <pageMargins left="0.7" right="0.7" top="0.75" bottom="0.75" header="0.3" footer="0.3"/>
  <pageSetup paperSize="9" fitToHeight="0" orientation="portrait" verticalDpi="429496729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C7489A6-DA30-43EE-A9B5-BE255536A72B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167ED-8B84-45D5-99E7-9B952F3D7A27}">
  <sheetPr>
    <tabColor theme="8"/>
  </sheetPr>
  <dimension ref="B1:AH16"/>
  <sheetViews>
    <sheetView showGridLines="0" topLeftCell="A4" zoomScaleNormal="100" workbookViewId="0">
      <selection activeCell="Y11" sqref="Y11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6" t="s">
        <v>54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TEXT(WEEKDAY(DATE(CalendarYear,7,9),1),"jjj")</f>
        <v>mer.</v>
      </c>
      <c r="D7" s="17" t="str">
        <f>TEXT(WEEKDAY(DATE(CalendarYear,7,10),1),"jjj")</f>
        <v>jeu.</v>
      </c>
      <c r="E7" s="17" t="str">
        <f>TEXT(WEEKDAY(DATE(CalendarYear,7,11),1),"jjj")</f>
        <v>ven.</v>
      </c>
      <c r="F7" s="17" t="str">
        <f>TEXT(WEEKDAY(DATE(CalendarYear,7,12),1),"jjj")</f>
        <v>sam.</v>
      </c>
      <c r="G7" s="17" t="str">
        <f>TEXT(WEEKDAY(DATE(CalendarYear,7,13),1),"jjj")</f>
        <v>dim.</v>
      </c>
      <c r="H7" s="17" t="str">
        <f>TEXT(WEEKDAY(DATE(CalendarYear,7,14),1),"jjj")</f>
        <v>lun.</v>
      </c>
      <c r="I7" s="17" t="str">
        <f>TEXT(WEEKDAY(DATE(CalendarYear,7,15),1),"jjj")</f>
        <v>mar.</v>
      </c>
      <c r="J7" s="17" t="str">
        <f>TEXT(WEEKDAY(DATE(CalendarYear,7,9),1),"jjj")</f>
        <v>mer.</v>
      </c>
      <c r="K7" s="17" t="str">
        <f>TEXT(WEEKDAY(DATE(CalendarYear,7,10),1),"jjj")</f>
        <v>jeu.</v>
      </c>
      <c r="L7" s="17" t="str">
        <f>TEXT(WEEKDAY(DATE(CalendarYear,7,11),1),"jjj")</f>
        <v>ven.</v>
      </c>
      <c r="M7" s="17" t="str">
        <f>TEXT(WEEKDAY(DATE(CalendarYear,7,12),1),"jjj")</f>
        <v>sam.</v>
      </c>
      <c r="N7" s="17" t="str">
        <f>TEXT(WEEKDAY(DATE(CalendarYear,7,13),1),"jjj")</f>
        <v>dim.</v>
      </c>
      <c r="O7" s="17" t="str">
        <f>TEXT(WEEKDAY(DATE(CalendarYear,7,14),1),"jjj")</f>
        <v>lun.</v>
      </c>
      <c r="P7" s="17" t="str">
        <f>TEXT(WEEKDAY(DATE(CalendarYear,7,15),1),"jjj")</f>
        <v>mar.</v>
      </c>
      <c r="Q7" s="17" t="str">
        <f>TEXT(WEEKDAY(DATE(CalendarYear,7,9),1),"jjj")</f>
        <v>mer.</v>
      </c>
      <c r="R7" s="17" t="str">
        <f>TEXT(WEEKDAY(DATE(CalendarYear,7,10),1),"jjj")</f>
        <v>jeu.</v>
      </c>
      <c r="S7" s="17" t="str">
        <f>TEXT(WEEKDAY(DATE(CalendarYear,7,11),1),"jjj")</f>
        <v>ven.</v>
      </c>
      <c r="T7" s="17" t="str">
        <f>TEXT(WEEKDAY(DATE(CalendarYear,7,12),1),"jjj")</f>
        <v>sam.</v>
      </c>
      <c r="U7" s="17" t="str">
        <f>TEXT(WEEKDAY(DATE(CalendarYear,7,13),1),"jjj")</f>
        <v>dim.</v>
      </c>
      <c r="V7" s="17" t="str">
        <f>TEXT(WEEKDAY(DATE(CalendarYear,7,14),1),"jjj")</f>
        <v>lun.</v>
      </c>
      <c r="W7" s="17" t="str">
        <f>TEXT(WEEKDAY(DATE(CalendarYear,7,15),1),"jjj")</f>
        <v>mar.</v>
      </c>
      <c r="X7" s="17" t="str">
        <f>TEXT(WEEKDAY(DATE(CalendarYear,7,9),1),"jjj")</f>
        <v>mer.</v>
      </c>
      <c r="Y7" s="17" t="str">
        <f>TEXT(WEEKDAY(DATE(CalendarYear,7,10),1),"jjj")</f>
        <v>jeu.</v>
      </c>
      <c r="Z7" s="17" t="str">
        <f>TEXT(WEEKDAY(DATE(CalendarYear,7,11),1),"jjj")</f>
        <v>ven.</v>
      </c>
      <c r="AA7" s="17" t="str">
        <f>TEXT(WEEKDAY(DATE(CalendarYear,7,12),1),"jjj")</f>
        <v>sam.</v>
      </c>
      <c r="AB7" s="17" t="str">
        <f>TEXT(WEEKDAY(DATE(CalendarYear,7,13),1),"jjj")</f>
        <v>dim.</v>
      </c>
      <c r="AC7" s="17" t="str">
        <f>TEXT(WEEKDAY(DATE(CalendarYear,7,14),1),"jjj")</f>
        <v>lun.</v>
      </c>
      <c r="AD7" s="17" t="str">
        <f>TEXT(WEEKDAY(DATE(CalendarYear,7,15),1),"jjj")</f>
        <v>mar.</v>
      </c>
      <c r="AE7" s="17" t="str">
        <f>TEXT(WEEKDAY(DATE(CalendarYear,7,9),1),"jjj")</f>
        <v>mer.</v>
      </c>
      <c r="AF7" s="17" t="str">
        <f>TEXT(WEEKDAY(DATE(CalendarYear,7,10),1),"jjj")</f>
        <v>jeu.</v>
      </c>
      <c r="AG7" s="17" t="str">
        <f>TEXT(WEEKDAY(DATE(CalendarYear,7,11),1),"jjj")</f>
        <v>ven.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COUNTA(Juillet12[[#This Row],[1]:[31]])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COUNTA(Juillet12[[#This Row],[1]:[31]])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COUNTA(Juillet12[[#This Row],[1]:[31]])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COUNTA(Juillet12[[#This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COUNTA(Juillet12[[#This Row],[1]:[31]])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COUNTA(Juillet12[[#This Row],[1]:[31]])</f>
        <v>0</v>
      </c>
    </row>
    <row r="15" spans="2:34" ht="30" customHeight="1">
      <c r="B15" s="2" t="s">
        <v>45</v>
      </c>
      <c r="AG15" s="29"/>
      <c r="AH15" s="29">
        <f>COUNTA(Juillet12[[#This Row],[1]:[31]])</f>
        <v>0</v>
      </c>
    </row>
    <row r="16" spans="2:34" ht="30" customHeight="1">
      <c r="B16" s="35" t="s">
        <v>46</v>
      </c>
      <c r="AG16" s="29"/>
      <c r="AH16" s="29">
        <f>COUNTA(Juillet12[[#This Row],[1]:[31]])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425" priority="2" stopIfTrue="1">
      <formula>C9="C"</formula>
    </cfRule>
    <cfRule type="expression" dxfId="424" priority="3" stopIfTrue="1">
      <formula>C9="R"</formula>
    </cfRule>
  </conditionalFormatting>
  <conditionalFormatting sqref="AH9:AH16">
    <cfRule type="dataBar" priority="1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{548598EB-8772-4307-B78D-5853DC9871CE}</x14:id>
        </ext>
      </extLst>
    </cfRule>
  </conditionalFormatting>
  <pageMargins left="0.7" right="0.7" top="0.75" bottom="0.75" header="0.3" footer="0.3"/>
  <pageSetup paperSize="9" fitToHeight="0" orientation="portrait" verticalDpi="429496729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48598EB-8772-4307-B78D-5853DC9871CE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theme="6" tint="0.39997558519241921"/>
  </sheetPr>
  <dimension ref="A1:AH16"/>
  <sheetViews>
    <sheetView showGridLines="0" topLeftCell="A4" zoomScaleNormal="100" workbookViewId="0">
      <selection activeCell="B12" sqref="B12"/>
    </sheetView>
  </sheetViews>
  <sheetFormatPr defaultColWidth="9.14062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1:34" ht="50.1" customHeight="1">
      <c r="B1" s="20"/>
    </row>
    <row r="2" spans="1:34" s="9" customFormat="1" ht="100.35" customHeight="1">
      <c r="A2"/>
      <c r="B2" s="19" t="s">
        <v>47</v>
      </c>
    </row>
    <row r="3" spans="1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1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1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1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1:34" ht="30" customHeight="1">
      <c r="B7" s="4"/>
      <c r="C7" s="17" t="str">
        <f>TEXT(WEEKDAY(DATE(CalendarYear,2,1),1),"jjj")</f>
        <v>sam.</v>
      </c>
      <c r="D7" s="17" t="str">
        <f>TEXT(WEEKDAY(DATE(CalendarYear,2,2),1),"jjj")</f>
        <v>dim.</v>
      </c>
      <c r="E7" s="17" t="str">
        <f>TEXT(WEEKDAY(DATE(CalendarYear,2,3),1),"jjj")</f>
        <v>lun.</v>
      </c>
      <c r="F7" s="17" t="str">
        <f>TEXT(WEEKDAY(DATE(CalendarYear,2,4),1),"jjj")</f>
        <v>mar.</v>
      </c>
      <c r="G7" s="17" t="str">
        <f>TEXT(WEEKDAY(DATE(CalendarYear,2,5),1),"jjj")</f>
        <v>mer.</v>
      </c>
      <c r="H7" s="17" t="str">
        <f>TEXT(WEEKDAY(DATE(CalendarYear,2,6),1),"jjj")</f>
        <v>jeu.</v>
      </c>
      <c r="I7" s="17" t="str">
        <f>TEXT(WEEKDAY(DATE(CalendarYear,2,7),1),"jjj")</f>
        <v>ven.</v>
      </c>
      <c r="J7" s="17" t="str">
        <f>TEXT(WEEKDAY(DATE(CalendarYear,2,8),1),"jjj")</f>
        <v>sam.</v>
      </c>
      <c r="K7" s="17" t="str">
        <f>TEXT(WEEKDAY(DATE(CalendarYear,2,9),1),"jjj")</f>
        <v>dim.</v>
      </c>
      <c r="L7" s="17" t="str">
        <f>TEXT(WEEKDAY(DATE(CalendarYear,2,10),1),"jjj")</f>
        <v>lun.</v>
      </c>
      <c r="M7" s="17" t="str">
        <f>TEXT(WEEKDAY(DATE(CalendarYear,2,11),1),"jjj")</f>
        <v>mar.</v>
      </c>
      <c r="N7" s="17" t="str">
        <f>TEXT(WEEKDAY(DATE(CalendarYear,2,12),1),"jjj")</f>
        <v>mer.</v>
      </c>
      <c r="O7" s="17" t="str">
        <f>TEXT(WEEKDAY(DATE(CalendarYear,2,13),1),"jjj")</f>
        <v>jeu.</v>
      </c>
      <c r="P7" s="17" t="str">
        <f>TEXT(WEEKDAY(DATE(CalendarYear,2,14),1),"jjj")</f>
        <v>ven.</v>
      </c>
      <c r="Q7" s="17" t="str">
        <f>TEXT(WEEKDAY(DATE(CalendarYear,2,15),1),"jjj")</f>
        <v>sam.</v>
      </c>
      <c r="R7" s="17" t="str">
        <f>TEXT(WEEKDAY(DATE(CalendarYear,2,16),1),"jjj")</f>
        <v>dim.</v>
      </c>
      <c r="S7" s="17" t="str">
        <f>TEXT(WEEKDAY(DATE(CalendarYear,2,17),1),"jjj")</f>
        <v>lun.</v>
      </c>
      <c r="T7" s="17" t="str">
        <f>TEXT(WEEKDAY(DATE(CalendarYear,2,18),1),"jjj")</f>
        <v>mar.</v>
      </c>
      <c r="U7" s="17" t="str">
        <f>TEXT(WEEKDAY(DATE(CalendarYear,2,19),1),"jjj")</f>
        <v>mer.</v>
      </c>
      <c r="V7" s="17" t="str">
        <f>TEXT(WEEKDAY(DATE(CalendarYear,2,20),1),"jjj")</f>
        <v>jeu.</v>
      </c>
      <c r="W7" s="17" t="str">
        <f>TEXT(WEEKDAY(DATE(CalendarYear,2,21),1),"jjj")</f>
        <v>ven.</v>
      </c>
      <c r="X7" s="17" t="str">
        <f>TEXT(WEEKDAY(DATE(CalendarYear,2,22),1),"jjj")</f>
        <v>sam.</v>
      </c>
      <c r="Y7" s="17" t="str">
        <f>TEXT(WEEKDAY(DATE(CalendarYear,2,23),1),"jjj")</f>
        <v>dim.</v>
      </c>
      <c r="Z7" s="17" t="str">
        <f>TEXT(WEEKDAY(DATE(CalendarYear,2,24),1),"jjj")</f>
        <v>lun.</v>
      </c>
      <c r="AA7" s="17" t="str">
        <f>TEXT(WEEKDAY(DATE(CalendarYear,2,25),1),"jjj")</f>
        <v>mar.</v>
      </c>
      <c r="AB7" s="17" t="str">
        <f>TEXT(WEEKDAY(DATE(CalendarYear,2,26),1),"jjj")</f>
        <v>mer.</v>
      </c>
      <c r="AC7" s="17" t="str">
        <f>TEXT(WEEKDAY(DATE(CalendarYear,2,27),1),"jjj")</f>
        <v>jeu.</v>
      </c>
      <c r="AD7" s="17" t="str">
        <f>TEXT(WEEKDAY(DATE(CalendarYear,2,28),1),"jjj")</f>
        <v>ven.</v>
      </c>
      <c r="AE7" s="17" t="str">
        <f>TEXT(WEEKDAY(DATE(CalendarYear,2,29),1),"jjj")</f>
        <v>sam.</v>
      </c>
      <c r="AF7" s="17"/>
      <c r="AG7" s="17"/>
      <c r="AH7" s="4"/>
    </row>
    <row r="8" spans="1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48</v>
      </c>
      <c r="AG8" s="1" t="s">
        <v>49</v>
      </c>
      <c r="AH8" s="18" t="s">
        <v>38</v>
      </c>
    </row>
    <row r="9" spans="1:34" ht="30" customHeight="1">
      <c r="B9" s="2" t="s">
        <v>39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3">
        <f>COUNTA(Février[[#This Row],[1]:[29]])</f>
        <v>0</v>
      </c>
    </row>
    <row r="10" spans="1:34" ht="30" customHeight="1">
      <c r="B10" s="2" t="s">
        <v>40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3">
        <f>COUNTA(Février[[#This Row],[1]:[29]])</f>
        <v>0</v>
      </c>
    </row>
    <row r="11" spans="1:34" ht="30" customHeight="1">
      <c r="B11" s="2" t="s">
        <v>41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3">
        <f>COUNTA(Février[[#This Row],[1]:[29]])</f>
        <v>0</v>
      </c>
    </row>
    <row r="12" spans="1:34" ht="30" customHeight="1">
      <c r="B12" s="39" t="s">
        <v>42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">
        <f>COUNTA(Février[[#This Row],[1]:[29]])</f>
        <v>0</v>
      </c>
    </row>
    <row r="13" spans="1:34" ht="30" customHeight="1">
      <c r="B13" s="2" t="s">
        <v>43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3">
        <f>COUNTA(Février[[#This Row],[1]:[29]])</f>
        <v>0</v>
      </c>
    </row>
    <row r="14" spans="1:34" ht="30" customHeight="1">
      <c r="B14" s="2" t="s">
        <v>44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3">
        <f>COUNTA(Février[[#This Row],[1]:[29]])</f>
        <v>0</v>
      </c>
    </row>
    <row r="15" spans="1:34" ht="30" customHeight="1">
      <c r="B15" s="2" t="s">
        <v>45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29">
        <f>COUNTA(Février[[#This Row],[1]:[29]])</f>
        <v>0</v>
      </c>
    </row>
    <row r="16" spans="1:34" ht="30" customHeight="1">
      <c r="B16" s="2" t="s">
        <v>46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29">
        <f>COUNTA(Février[[#This Row],[1]:[29]])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1648" priority="155" stopIfTrue="1">
      <formula>C9="C"</formula>
    </cfRule>
    <cfRule type="expression" dxfId="1647" priority="156" stopIfTrue="1">
      <formula>C9="R"</formula>
    </cfRule>
  </conditionalFormatting>
  <conditionalFormatting sqref="AE7">
    <cfRule type="expression" dxfId="1646" priority="1">
      <formula>MONTH(DATE(CalendarYear,2,29))&lt;&gt;2</formula>
    </cfRule>
  </conditionalFormatting>
  <conditionalFormatting sqref="AE8">
    <cfRule type="expression" dxfId="1645" priority="17">
      <formula>MONTH(DATE(CalendarYear,2,29))&lt;&gt;2</formula>
    </cfRule>
  </conditionalFormatting>
  <conditionalFormatting sqref="AH9:AH16">
    <cfRule type="dataBar" priority="154">
      <dataBar>
        <cfvo type="min"/>
        <cfvo type="formula" val="DATEDIF(DATE(CalendarYear,2,1),DATE(CalendarYear,3,1),&quot;d&quot;)"/>
        <color theme="4"/>
      </dataBar>
      <extLst>
        <ext xmlns:x14="http://schemas.microsoft.com/office/spreadsheetml/2009/9/main" uri="{B025F937-C7B1-47D3-B67F-A62EFF666E3E}">
          <x14:id>{94738C71-AB78-40C3-A818-D083AE35CC38}</x14:id>
        </ext>
      </extLst>
    </cfRule>
  </conditionalFormatting>
  <pageMargins left="0.7" right="0.7" top="0.75" bottom="0.75" header="0.3" footer="0.3"/>
  <pageSetup paperSize="9" fitToHeight="0" orientation="portrait" verticalDpi="4294967293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4738C71-AB78-40C3-A818-D083AE35CC38}">
            <x14:dataBar minLength="0" maxLength="100" gradient="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8F3BE-ACDB-4078-92FA-0B19DCEFA4F2}">
  <sheetPr>
    <tabColor theme="8"/>
  </sheetPr>
  <dimension ref="B1:AH16"/>
  <sheetViews>
    <sheetView showGridLines="0" zoomScaleNormal="100" workbookViewId="0">
      <selection activeCell="AD10" sqref="AD10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5" t="s">
        <v>55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TEXT(WEEKDAY(DATE(CalendarYear,8,2),1),"jjj")</f>
        <v>sam.</v>
      </c>
      <c r="D7" s="17" t="str">
        <f>TEXT(WEEKDAY(DATE(CalendarYear,8,3),1),"jjj")</f>
        <v>dim.</v>
      </c>
      <c r="E7" s="17" t="str">
        <f>TEXT(WEEKDAY(DATE(CalendarYear,8,4),1),"jjj")</f>
        <v>lun.</v>
      </c>
      <c r="F7" s="17" t="str">
        <f>TEXT(WEEKDAY(DATE(CalendarYear,8,5),1),"jjj")</f>
        <v>mar.</v>
      </c>
      <c r="G7" s="17" t="str">
        <f>TEXT(WEEKDAY(DATE(CalendarYear,8,6),1),"jjj")</f>
        <v>mer.</v>
      </c>
      <c r="H7" s="17" t="str">
        <f>TEXT(WEEKDAY(DATE(CalendarYear,8,7),1),"jjj")</f>
        <v>jeu.</v>
      </c>
      <c r="I7" s="17" t="str">
        <f>TEXT(WEEKDAY(DATE(CalendarYear,8,8),1),"jjj")</f>
        <v>ven.</v>
      </c>
      <c r="J7" s="17" t="str">
        <f>TEXT(WEEKDAY(DATE(CalendarYear,8,9),1),"jjj")</f>
        <v>sam.</v>
      </c>
      <c r="K7" s="17" t="str">
        <f>TEXT(WEEKDAY(DATE(CalendarYear,8,10),1),"jjj")</f>
        <v>dim.</v>
      </c>
      <c r="L7" s="17" t="str">
        <f>TEXT(WEEKDAY(DATE(CalendarYear,8,11),1),"jjj")</f>
        <v>lun.</v>
      </c>
      <c r="M7" s="17" t="str">
        <f>TEXT(WEEKDAY(DATE(CalendarYear,8,12),1),"jjj")</f>
        <v>mar.</v>
      </c>
      <c r="N7" s="17" t="str">
        <f>TEXT(WEEKDAY(DATE(CalendarYear,8,13),1),"jjj")</f>
        <v>mer.</v>
      </c>
      <c r="O7" s="17" t="str">
        <f>TEXT(WEEKDAY(DATE(CalendarYear,8,14),1),"jjj")</f>
        <v>jeu.</v>
      </c>
      <c r="P7" s="17" t="str">
        <f>TEXT(WEEKDAY(DATE(CalendarYear,8,15),1),"jjj")</f>
        <v>ven.</v>
      </c>
      <c r="Q7" s="17" t="str">
        <f>TEXT(WEEKDAY(DATE(CalendarYear,8,16),1),"jjj")</f>
        <v>sam.</v>
      </c>
      <c r="R7" s="17" t="str">
        <f>TEXT(WEEKDAY(DATE(CalendarYear,8,17),1),"jjj")</f>
        <v>dim.</v>
      </c>
      <c r="S7" s="17" t="str">
        <f>TEXT(WEEKDAY(DATE(CalendarYear,8,18),1),"jjj")</f>
        <v>lun.</v>
      </c>
      <c r="T7" s="17" t="str">
        <f>TEXT(WEEKDAY(DATE(CalendarYear,8,19),1),"jjj")</f>
        <v>mar.</v>
      </c>
      <c r="U7" s="17" t="str">
        <f>TEXT(WEEKDAY(DATE(CalendarYear,8,20),1),"jjj")</f>
        <v>mer.</v>
      </c>
      <c r="V7" s="17" t="str">
        <f>TEXT(WEEKDAY(DATE(CalendarYear,8,21),1),"jjj")</f>
        <v>jeu.</v>
      </c>
      <c r="W7" s="17" t="str">
        <f>TEXT(WEEKDAY(DATE(CalendarYear,8,22),1),"jjj")</f>
        <v>ven.</v>
      </c>
      <c r="X7" s="17" t="str">
        <f>TEXT(WEEKDAY(DATE(CalendarYear,8,23),1),"jjj")</f>
        <v>sam.</v>
      </c>
      <c r="Y7" s="17" t="str">
        <f>TEXT(WEEKDAY(DATE(CalendarYear,8,24),1),"jjj")</f>
        <v>dim.</v>
      </c>
      <c r="Z7" s="17" t="str">
        <f>TEXT(WEEKDAY(DATE(CalendarYear,8,25),1),"jjj")</f>
        <v>lun.</v>
      </c>
      <c r="AA7" s="17" t="str">
        <f>TEXT(WEEKDAY(DATE(CalendarYear,8,26),1),"jjj")</f>
        <v>mar.</v>
      </c>
      <c r="AB7" s="17" t="str">
        <f>TEXT(WEEKDAY(DATE(CalendarYear,8,27),1),"jjj")</f>
        <v>mer.</v>
      </c>
      <c r="AC7" s="17" t="str">
        <f>TEXT(WEEKDAY(DATE(CalendarYear,8,28),1),"jjj")</f>
        <v>jeu.</v>
      </c>
      <c r="AD7" s="17" t="str">
        <f>TEXT(WEEKDAY(DATE(CalendarYear,8,29),1),"jjj")</f>
        <v>ven.</v>
      </c>
      <c r="AE7" s="17" t="str">
        <f>TEXT(WEEKDAY(DATE(CalendarYear,8,30),1),"jjj")</f>
        <v>sam.</v>
      </c>
      <c r="AF7" s="17" t="str">
        <f>TEXT(WEEKDAY(DATE(CalendarYear,8,31),1),"jjj")</f>
        <v>dim.</v>
      </c>
      <c r="AG7" s="17" t="str">
        <f>TEXT(WEEKDAY(DATE(CalendarYear,8,11),1),"jjj")</f>
        <v>lun.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COUNTA(Août14[[#This Row],[1]:[31]])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COUNTA(Août14[[#This Row],[1]:[31]])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COUNTA(Août14[[#This Row],[1]:[31]])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COUNTA(Août14[[#This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COUNTA(Août14[[#This Row],[1]:[31]])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COUNTA(Août14[[#This Row],[1]:[31]])</f>
        <v>0</v>
      </c>
    </row>
    <row r="15" spans="2:34" ht="30" customHeight="1">
      <c r="B15" s="2" t="s">
        <v>45</v>
      </c>
      <c r="AG15" s="29"/>
      <c r="AH15" s="29">
        <f>COUNTA(Août14[[#This Row],[1]:[31]])</f>
        <v>0</v>
      </c>
    </row>
    <row r="16" spans="2:34" ht="30" customHeight="1">
      <c r="B16" s="35" t="s">
        <v>46</v>
      </c>
      <c r="AG16" s="29"/>
      <c r="AH16" s="29">
        <f>COUNTA(Août14[[#This Row],[1]:[31]])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354" priority="2" stopIfTrue="1">
      <formula>C9="C"</formula>
    </cfRule>
    <cfRule type="expression" dxfId="353" priority="3" stopIfTrue="1">
      <formula>C9="R"</formula>
    </cfRule>
  </conditionalFormatting>
  <conditionalFormatting sqref="AH9:AH16">
    <cfRule type="dataBar" priority="1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{6D551A4A-886E-4D57-9EC4-6243A853FF92}</x14:id>
        </ext>
      </extLst>
    </cfRule>
  </conditionalFormatting>
  <pageMargins left="0.7" right="0.7" top="0.75" bottom="0.75" header="0.3" footer="0.3"/>
  <pageSetup paperSize="9" fitToHeight="0" orientation="portrait" verticalDpi="429496729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D551A4A-886E-4D57-9EC4-6243A853FF92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A8A79-0B4E-4F24-BB06-6A1BFF085E88}">
  <sheetPr>
    <tabColor theme="7"/>
  </sheetPr>
  <dimension ref="B1:AH16"/>
  <sheetViews>
    <sheetView showGridLines="0" topLeftCell="A4" zoomScaleNormal="100" workbookViewId="0">
      <selection activeCell="AA11" sqref="AA11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4" t="s">
        <v>56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TEXT(WEEKDAY(DATE(CalendarYear,9,2),1),"jjj")</f>
        <v>mar.</v>
      </c>
      <c r="D7" s="17" t="str">
        <f>TEXT(WEEKDAY(DATE(CalendarYear,9,3),1),"jjj")</f>
        <v>mer.</v>
      </c>
      <c r="E7" s="17" t="str">
        <f>TEXT(WEEKDAY(DATE(CalendarYear,9,4),1),"jjj")</f>
        <v>jeu.</v>
      </c>
      <c r="F7" s="17" t="str">
        <f>TEXT(WEEKDAY(DATE(CalendarYear,9,5),1),"jjj")</f>
        <v>ven.</v>
      </c>
      <c r="G7" s="17" t="str">
        <f>TEXT(WEEKDAY(DATE(CalendarYear,9,6),1),"jjj")</f>
        <v>sam.</v>
      </c>
      <c r="H7" s="17" t="str">
        <f>TEXT(WEEKDAY(DATE(CalendarYear,9,7),1),"jjj")</f>
        <v>dim.</v>
      </c>
      <c r="I7" s="17" t="str">
        <f>TEXT(WEEKDAY(DATE(CalendarYear,9,8),1),"jjj")</f>
        <v>lun.</v>
      </c>
      <c r="J7" s="17" t="str">
        <f>TEXT(WEEKDAY(DATE(CalendarYear,9,9),1),"jjj")</f>
        <v>mar.</v>
      </c>
      <c r="K7" s="17" t="str">
        <f>TEXT(WEEKDAY(DATE(CalendarYear,9,10),1),"jjj")</f>
        <v>mer.</v>
      </c>
      <c r="L7" s="17" t="str">
        <f>TEXT(WEEKDAY(DATE(CalendarYear,9,11),1),"jjj")</f>
        <v>jeu.</v>
      </c>
      <c r="M7" s="17" t="str">
        <f>TEXT(WEEKDAY(DATE(CalendarYear,9,12),1),"jjj")</f>
        <v>ven.</v>
      </c>
      <c r="N7" s="17" t="str">
        <f>TEXT(WEEKDAY(DATE(CalendarYear,9,13),1),"jjj")</f>
        <v>sam.</v>
      </c>
      <c r="O7" s="17" t="str">
        <f>TEXT(WEEKDAY(DATE(CalendarYear,9,14),1),"jjj")</f>
        <v>dim.</v>
      </c>
      <c r="P7" s="17" t="str">
        <f>TEXT(WEEKDAY(DATE(CalendarYear,9,15),1),"jjj")</f>
        <v>lun.</v>
      </c>
      <c r="Q7" s="17" t="str">
        <f>TEXT(WEEKDAY(DATE(CalendarYear,9,16),1),"jjj")</f>
        <v>mar.</v>
      </c>
      <c r="R7" s="17" t="str">
        <f>TEXT(WEEKDAY(DATE(CalendarYear,9,17),1),"jjj")</f>
        <v>mer.</v>
      </c>
      <c r="S7" s="17" t="str">
        <f>TEXT(WEEKDAY(DATE(CalendarYear,9,18),1),"jjj")</f>
        <v>jeu.</v>
      </c>
      <c r="T7" s="17" t="str">
        <f>TEXT(WEEKDAY(DATE(CalendarYear,9,19),1),"jjj")</f>
        <v>ven.</v>
      </c>
      <c r="U7" s="17" t="str">
        <f>TEXT(WEEKDAY(DATE(CalendarYear,9,20),1),"jjj")</f>
        <v>sam.</v>
      </c>
      <c r="V7" s="17" t="str">
        <f>TEXT(WEEKDAY(DATE(CalendarYear,9,21),1),"jjj")</f>
        <v>dim.</v>
      </c>
      <c r="W7" s="17" t="str">
        <f>TEXT(WEEKDAY(DATE(CalendarYear,9,22),1),"jjj")</f>
        <v>lun.</v>
      </c>
      <c r="X7" s="17" t="str">
        <f>TEXT(WEEKDAY(DATE(CalendarYear,9,23),1),"jjj")</f>
        <v>mar.</v>
      </c>
      <c r="Y7" s="17" t="str">
        <f>TEXT(WEEKDAY(DATE(CalendarYear,9,24),1),"jjj")</f>
        <v>mer.</v>
      </c>
      <c r="Z7" s="17" t="str">
        <f>TEXT(WEEKDAY(DATE(CalendarYear,9,25),1),"jjj")</f>
        <v>jeu.</v>
      </c>
      <c r="AA7" s="17" t="str">
        <f>TEXT(WEEKDAY(DATE(CalendarYear,9,26),1),"jjj")</f>
        <v>ven.</v>
      </c>
      <c r="AB7" s="17" t="str">
        <f>TEXT(WEEKDAY(DATE(CalendarYear,9,27),1),"jjj")</f>
        <v>sam.</v>
      </c>
      <c r="AC7" s="17" t="str">
        <f>TEXT(WEEKDAY(DATE(CalendarYear,9,28),1),"jjj")</f>
        <v>dim.</v>
      </c>
      <c r="AD7" s="17" t="str">
        <f>TEXT(WEEKDAY(DATE(CalendarYear,9,29),1),"jjj")</f>
        <v>lun.</v>
      </c>
      <c r="AE7" s="17" t="str">
        <f>TEXT(WEEKDAY(DATE(CalendarYear,9,30),1),"jjj")</f>
        <v>mar.</v>
      </c>
      <c r="AF7" s="17" t="str">
        <f>TEXT(WEEKDAY(DATE(CalendarYear,9,24),1),"jjj")</f>
        <v>mer.</v>
      </c>
      <c r="AG7" s="17"/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48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COUNTA(Septembre16[[#This Row],[1]:[ 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COUNTA(Septembre16[[#This Row],[1]:[ 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COUNTA(Septembre16[[#This Row],[1]:[ 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COUNTA(Septembre16[[#This Row],[1]:[ 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COUNTA(Septembre16[[#This Row],[1]:[ 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COUNTA(Septembre16[[#This Row],[1]:[ ]])</f>
        <v>0</v>
      </c>
    </row>
    <row r="15" spans="2:34" ht="30" customHeight="1">
      <c r="B15" s="2" t="s">
        <v>45</v>
      </c>
      <c r="AG15" s="29"/>
      <c r="AH15" s="29">
        <f>COUNTA(Septembre16[[#This Row],[1]:[ ]])</f>
        <v>0</v>
      </c>
    </row>
    <row r="16" spans="2:34" ht="30" customHeight="1">
      <c r="B16" s="35" t="s">
        <v>46</v>
      </c>
      <c r="AG16" s="29"/>
      <c r="AH16" s="29">
        <f>COUNTA(Septembre16[[#This Row],[1]:[ 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283" priority="2" stopIfTrue="1">
      <formula>C9="C"</formula>
    </cfRule>
    <cfRule type="expression" dxfId="282" priority="3" stopIfTrue="1">
      <formula>C9="R"</formula>
    </cfRule>
  </conditionalFormatting>
  <conditionalFormatting sqref="AH9:AH16">
    <cfRule type="dataBar" priority="1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{8B35E256-503C-4EF7-9F6C-E1EFEC2DFF1B}</x14:id>
        </ext>
      </extLst>
    </cfRule>
  </conditionalFormatting>
  <pageMargins left="0.7" right="0.7" top="0.75" bottom="0.75" header="0.3" footer="0.3"/>
  <pageSetup paperSize="9" fitToHeight="0" orientation="portrait" verticalDpi="429496729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B35E256-503C-4EF7-9F6C-E1EFEC2DFF1B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8B540-39DF-4D90-98E6-75F9FA148C08}">
  <sheetPr>
    <tabColor theme="7"/>
  </sheetPr>
  <dimension ref="B1:AH16"/>
  <sheetViews>
    <sheetView showGridLines="0" topLeftCell="A7" zoomScaleNormal="100" workbookViewId="0">
      <selection activeCell="N14" sqref="N14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4" t="s">
        <v>57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TEXT(WEEKDAY(DATE(CalendarYear,10,2),1),"jjj")</f>
        <v>jeu.</v>
      </c>
      <c r="D7" s="17" t="str">
        <f>TEXT(WEEKDAY(DATE(CalendarYear,10,3),1),"jjj")</f>
        <v>ven.</v>
      </c>
      <c r="E7" s="17" t="str">
        <f>TEXT(WEEKDAY(DATE(CalendarYear,10,4),1),"jjj")</f>
        <v>sam.</v>
      </c>
      <c r="F7" s="17" t="str">
        <f>TEXT(WEEKDAY(DATE(CalendarYear,10,5),1),"jjj")</f>
        <v>dim.</v>
      </c>
      <c r="G7" s="17" t="str">
        <f>TEXT(WEEKDAY(DATE(CalendarYear,10,6),1),"jjj")</f>
        <v>lun.</v>
      </c>
      <c r="H7" s="17" t="str">
        <f>TEXT(WEEKDAY(DATE(CalendarYear,10,7),1),"jjj")</f>
        <v>mar.</v>
      </c>
      <c r="I7" s="17" t="str">
        <f>TEXT(WEEKDAY(DATE(CalendarYear,10,8),1),"jjj")</f>
        <v>mer.</v>
      </c>
      <c r="J7" s="17" t="str">
        <f>TEXT(WEEKDAY(DATE(CalendarYear,10,9),1),"jjj")</f>
        <v>jeu.</v>
      </c>
      <c r="K7" s="17" t="str">
        <f>TEXT(WEEKDAY(DATE(CalendarYear,10,10),1),"jjj")</f>
        <v>ven.</v>
      </c>
      <c r="L7" s="17" t="str">
        <f>TEXT(WEEKDAY(DATE(CalendarYear,10,11),1),"jjj")</f>
        <v>sam.</v>
      </c>
      <c r="M7" s="17" t="str">
        <f>TEXT(WEEKDAY(DATE(CalendarYear,10,12),1),"jjj")</f>
        <v>dim.</v>
      </c>
      <c r="N7" s="17" t="str">
        <f>TEXT(WEEKDAY(DATE(CalendarYear,10,13),1),"jjj")</f>
        <v>lun.</v>
      </c>
      <c r="O7" s="17" t="str">
        <f>TEXT(WEEKDAY(DATE(CalendarYear,10,14),1),"jjj")</f>
        <v>mar.</v>
      </c>
      <c r="P7" s="17" t="str">
        <f>TEXT(WEEKDAY(DATE(CalendarYear,10,15),1),"jjj")</f>
        <v>mer.</v>
      </c>
      <c r="Q7" s="17" t="str">
        <f>TEXT(WEEKDAY(DATE(CalendarYear,10,16),1),"jjj")</f>
        <v>jeu.</v>
      </c>
      <c r="R7" s="17" t="str">
        <f>TEXT(WEEKDAY(DATE(CalendarYear,10,17),1),"jjj")</f>
        <v>ven.</v>
      </c>
      <c r="S7" s="17" t="str">
        <f>TEXT(WEEKDAY(DATE(CalendarYear,10,18),1),"jjj")</f>
        <v>sam.</v>
      </c>
      <c r="T7" s="17" t="str">
        <f>TEXT(WEEKDAY(DATE(CalendarYear,10,19),1),"jjj")</f>
        <v>dim.</v>
      </c>
      <c r="U7" s="17" t="str">
        <f>TEXT(WEEKDAY(DATE(CalendarYear,10,20),1),"jjj")</f>
        <v>lun.</v>
      </c>
      <c r="V7" s="17" t="str">
        <f>TEXT(WEEKDAY(DATE(CalendarYear,10,21),1),"jjj")</f>
        <v>mar.</v>
      </c>
      <c r="W7" s="17" t="str">
        <f>TEXT(WEEKDAY(DATE(CalendarYear,10,22),1),"jjj")</f>
        <v>mer.</v>
      </c>
      <c r="X7" s="17" t="str">
        <f>TEXT(WEEKDAY(DATE(CalendarYear,10,23),1),"jjj")</f>
        <v>jeu.</v>
      </c>
      <c r="Y7" s="17" t="str">
        <f>TEXT(WEEKDAY(DATE(CalendarYear,10,24),1),"jjj")</f>
        <v>ven.</v>
      </c>
      <c r="Z7" s="17" t="str">
        <f>TEXT(WEEKDAY(DATE(CalendarYear,10,25),1),"jjj")</f>
        <v>sam.</v>
      </c>
      <c r="AA7" s="17" t="str">
        <f>TEXT(WEEKDAY(DATE(CalendarYear,10,26),1),"jjj")</f>
        <v>dim.</v>
      </c>
      <c r="AB7" s="17" t="str">
        <f>TEXT(WEEKDAY(DATE(CalendarYear,10,27),1),"jjj")</f>
        <v>lun.</v>
      </c>
      <c r="AC7" s="17" t="str">
        <f>TEXT(WEEKDAY(DATE(CalendarYear,10,28),1),"jjj")</f>
        <v>mar.</v>
      </c>
      <c r="AD7" s="17" t="str">
        <f>TEXT(WEEKDAY(DATE(CalendarYear,10,29),1),"jjj")</f>
        <v>mer.</v>
      </c>
      <c r="AE7" s="17" t="str">
        <f>TEXT(WEEKDAY(DATE(CalendarYear,10,30),1),"jjj")</f>
        <v>jeu.</v>
      </c>
      <c r="AF7" s="17" t="str">
        <f>TEXT(WEEKDAY(DATE(CalendarYear,10,31),1),"jjj")</f>
        <v>ven.</v>
      </c>
      <c r="AG7" s="17" t="str">
        <f>TEXT(WEEKDAY(DATE(CalendarYear,10,25),1),"jjj")</f>
        <v>sam.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 t="s">
        <v>1</v>
      </c>
      <c r="S9" s="1" t="s">
        <v>1</v>
      </c>
      <c r="T9" s="1" t="s">
        <v>1</v>
      </c>
      <c r="U9" s="1" t="s">
        <v>1</v>
      </c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COUNTA(Octobre17[[#This Row],[1]:[31]])</f>
        <v>4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COUNTA(Octobre17[[#This Row],[1]:[31]])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COUNTA(Octobre17[[#This Row],[1]:[31]])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COUNTA(Octobre17[[#This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COUNTA(Octobre17[[#This Row],[1]:[31]])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COUNTA(Octobre17[[#This Row],[1]:[31]])</f>
        <v>0</v>
      </c>
    </row>
    <row r="15" spans="2:34" ht="30" customHeight="1">
      <c r="B15" s="2" t="s">
        <v>45</v>
      </c>
      <c r="AG15" s="29"/>
      <c r="AH15" s="29">
        <f>COUNTA(Octobre17[[#This Row],[1]:[31]])</f>
        <v>0</v>
      </c>
    </row>
    <row r="16" spans="2:34" ht="30" customHeight="1">
      <c r="B16" s="35" t="s">
        <v>46</v>
      </c>
      <c r="AG16" s="29"/>
      <c r="AH16" s="29">
        <f>COUNTA(Octobre17[[#This Row],[1]:[31]])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212" priority="2" stopIfTrue="1">
      <formula>C9="C"</formula>
    </cfRule>
    <cfRule type="expression" dxfId="211" priority="3" stopIfTrue="1">
      <formula>C9="R"</formula>
    </cfRule>
  </conditionalFormatting>
  <conditionalFormatting sqref="AH9:AH16">
    <cfRule type="dataBar" priority="1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{B01E2985-3A19-456B-A9A2-02E338115768}</x14:id>
        </ext>
      </extLst>
    </cfRule>
  </conditionalFormatting>
  <pageMargins left="0.7" right="0.7" top="0.75" bottom="0.75" header="0.3" footer="0.3"/>
  <pageSetup paperSize="9" fitToHeight="0" orientation="portrait" verticalDpi="4294967293"/>
  <legacyDrawing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01E2985-3A19-456B-A9A2-02E338115768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5B498-997B-4F28-BE60-442C18B282A4}">
  <sheetPr>
    <tabColor theme="7"/>
  </sheetPr>
  <dimension ref="B1:AH16"/>
  <sheetViews>
    <sheetView showGridLines="0" topLeftCell="B5" zoomScaleNormal="100" workbookViewId="0">
      <selection activeCell="AD11" sqref="AD11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4" t="s">
        <v>58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TEXT(WEEKDAY(DATE(CalendarYear,11,2),1),"jjj")</f>
        <v>dim.</v>
      </c>
      <c r="D7" s="17" t="str">
        <f>TEXT(WEEKDAY(DATE(CalendarYear,11,3),1),"jjj")</f>
        <v>lun.</v>
      </c>
      <c r="E7" s="17" t="str">
        <f>TEXT(WEEKDAY(DATE(CalendarYear,11,4),1),"jjj")</f>
        <v>mar.</v>
      </c>
      <c r="F7" s="17" t="str">
        <f>TEXT(WEEKDAY(DATE(CalendarYear,11,5),1),"jjj")</f>
        <v>mer.</v>
      </c>
      <c r="G7" s="17" t="str">
        <f>TEXT(WEEKDAY(DATE(CalendarYear,11,6),1),"jjj")</f>
        <v>jeu.</v>
      </c>
      <c r="H7" s="17" t="str">
        <f>TEXT(WEEKDAY(DATE(CalendarYear,11,7),1),"jjj")</f>
        <v>ven.</v>
      </c>
      <c r="I7" s="17" t="str">
        <f>TEXT(WEEKDAY(DATE(CalendarYear,11,8),1),"jjj")</f>
        <v>sam.</v>
      </c>
      <c r="J7" s="17" t="str">
        <f>TEXT(WEEKDAY(DATE(CalendarYear,11,9),1),"jjj")</f>
        <v>dim.</v>
      </c>
      <c r="K7" s="17" t="str">
        <f>TEXT(WEEKDAY(DATE(CalendarYear,11,10),1),"jjj")</f>
        <v>lun.</v>
      </c>
      <c r="L7" s="17" t="str">
        <f>TEXT(WEEKDAY(DATE(CalendarYear,11,11),1),"jjj")</f>
        <v>mar.</v>
      </c>
      <c r="M7" s="17" t="str">
        <f>TEXT(WEEKDAY(DATE(CalendarYear,11,12),1),"jjj")</f>
        <v>mer.</v>
      </c>
      <c r="N7" s="17" t="str">
        <f>TEXT(WEEKDAY(DATE(CalendarYear,11,13),1),"jjj")</f>
        <v>jeu.</v>
      </c>
      <c r="O7" s="17" t="str">
        <f>TEXT(WEEKDAY(DATE(CalendarYear,11,14),1),"jjj")</f>
        <v>ven.</v>
      </c>
      <c r="P7" s="17" t="str">
        <f>TEXT(WEEKDAY(DATE(CalendarYear,11,15),1),"jjj")</f>
        <v>sam.</v>
      </c>
      <c r="Q7" s="17" t="str">
        <f>TEXT(WEEKDAY(DATE(CalendarYear,11,16),1),"jjj")</f>
        <v>dim.</v>
      </c>
      <c r="R7" s="17" t="str">
        <f>TEXT(WEEKDAY(DATE(CalendarYear,11,17),1),"jjj")</f>
        <v>lun.</v>
      </c>
      <c r="S7" s="17" t="str">
        <f>TEXT(WEEKDAY(DATE(CalendarYear,11,18),1),"jjj")</f>
        <v>mar.</v>
      </c>
      <c r="T7" s="17" t="str">
        <f>TEXT(WEEKDAY(DATE(CalendarYear,11,19),1),"jjj")</f>
        <v>mer.</v>
      </c>
      <c r="U7" s="17" t="str">
        <f>TEXT(WEEKDAY(DATE(CalendarYear,11,20),1),"jjj")</f>
        <v>jeu.</v>
      </c>
      <c r="V7" s="17" t="str">
        <f>TEXT(WEEKDAY(DATE(CalendarYear,11,21),1),"jjj")</f>
        <v>ven.</v>
      </c>
      <c r="W7" s="17" t="str">
        <f>TEXT(WEEKDAY(DATE(CalendarYear,11,22),1),"jjj")</f>
        <v>sam.</v>
      </c>
      <c r="X7" s="17" t="str">
        <f>TEXT(WEEKDAY(DATE(CalendarYear,11,23),1),"jjj")</f>
        <v>dim.</v>
      </c>
      <c r="Y7" s="17" t="str">
        <f>TEXT(WEEKDAY(DATE(CalendarYear,11,24),1),"jjj")</f>
        <v>lun.</v>
      </c>
      <c r="Z7" s="17" t="str">
        <f>TEXT(WEEKDAY(DATE(CalendarYear,11,25),1),"jjj")</f>
        <v>mar.</v>
      </c>
      <c r="AA7" s="17" t="str">
        <f>TEXT(WEEKDAY(DATE(CalendarYear,11,26),1),"jjj")</f>
        <v>mer.</v>
      </c>
      <c r="AB7" s="17" t="str">
        <f>TEXT(WEEKDAY(DATE(CalendarYear,11,27),1),"jjj")</f>
        <v>jeu.</v>
      </c>
      <c r="AC7" s="17" t="str">
        <f>TEXT(WEEKDAY(DATE(CalendarYear,11,28),1),"jjj")</f>
        <v>ven.</v>
      </c>
      <c r="AD7" s="17" t="str">
        <f>TEXT(WEEKDAY(DATE(CalendarYear,11,29),1),"jjj")</f>
        <v>sam.</v>
      </c>
      <c r="AE7" s="17" t="str">
        <f>TEXT(WEEKDAY(DATE(CalendarYear,11,30),1),"jjj")</f>
        <v>dim.</v>
      </c>
      <c r="AF7" s="17" t="str">
        <f>TEXT(WEEKDAY(DATE(CalendarYear,11,24),1),"jjj")</f>
        <v>lun.</v>
      </c>
      <c r="AG7" s="17"/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48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COUNTA(Novembre24[[#This Row],[1]:[ 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COUNTA(Novembre24[[#This Row],[1]:[ 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COUNTA(Novembre24[[#This Row],[1]:[ 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COUNTA(Novembre24[[#This Row],[1]:[ 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COUNTA(Novembre24[[#This Row],[1]:[ 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COUNTA(Novembre24[[#This Row],[1]:[ ]])</f>
        <v>0</v>
      </c>
    </row>
    <row r="15" spans="2:34" ht="30" customHeight="1">
      <c r="B15" s="2" t="s">
        <v>45</v>
      </c>
      <c r="AG15" s="29"/>
      <c r="AH15" s="29">
        <f>COUNTA(Novembre24[[#This Row],[1]:[ ]])</f>
        <v>0</v>
      </c>
    </row>
    <row r="16" spans="2:34" ht="30" customHeight="1">
      <c r="B16" s="35" t="s">
        <v>46</v>
      </c>
      <c r="AG16" s="29"/>
      <c r="AH16" s="29">
        <f>COUNTA(Novembre24[[#This Row],[1]:[ 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141" priority="2" stopIfTrue="1">
      <formula>C9="C"</formula>
    </cfRule>
    <cfRule type="expression" dxfId="140" priority="3" stopIfTrue="1">
      <formula>C9="R"</formula>
    </cfRule>
  </conditionalFormatting>
  <conditionalFormatting sqref="AH9:AH16">
    <cfRule type="dataBar" priority="1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{C95A0FFB-AEB2-49FF-8290-ABB92DED4C71}</x14:id>
        </ext>
      </extLst>
    </cfRule>
  </conditionalFormatting>
  <pageMargins left="0.7" right="0.7" top="0.75" bottom="0.75" header="0.3" footer="0.3"/>
  <pageSetup paperSize="9" fitToHeight="0" orientation="portrait" verticalDpi="429496729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95A0FFB-AEB2-49FF-8290-ABB92DED4C71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C12E3-C26C-45EE-B474-24DF01814C11}">
  <sheetPr>
    <tabColor theme="6" tint="0.39997558519241921"/>
  </sheetPr>
  <dimension ref="B1:AH16"/>
  <sheetViews>
    <sheetView showGridLines="0" topLeftCell="A6" zoomScaleNormal="100" workbookViewId="0">
      <selection activeCell="R11" sqref="R11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19" t="s">
        <v>59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TEXT(WEEKDAY(DATE(CalendarYear,12,2),1),"jjj")</f>
        <v>mar.</v>
      </c>
      <c r="D7" s="17" t="str">
        <f>TEXT(WEEKDAY(DATE(CalendarYear,12,3),1),"jjj")</f>
        <v>mer.</v>
      </c>
      <c r="E7" s="17" t="str">
        <f>TEXT(WEEKDAY(DATE(CalendarYear,12,4),1),"jjj")</f>
        <v>jeu.</v>
      </c>
      <c r="F7" s="17" t="str">
        <f>TEXT(WEEKDAY(DATE(CalendarYear,12,5),1),"jjj")</f>
        <v>ven.</v>
      </c>
      <c r="G7" s="17" t="str">
        <f>TEXT(WEEKDAY(DATE(CalendarYear,12,6),1),"jjj")</f>
        <v>sam.</v>
      </c>
      <c r="H7" s="17" t="str">
        <f>TEXT(WEEKDAY(DATE(CalendarYear,12,7),1),"jjj")</f>
        <v>dim.</v>
      </c>
      <c r="I7" s="17" t="str">
        <f>TEXT(WEEKDAY(DATE(CalendarYear,12,8),1),"jjj")</f>
        <v>lun.</v>
      </c>
      <c r="J7" s="17" t="str">
        <f>TEXT(WEEKDAY(DATE(CalendarYear,12,9),1),"jjj")</f>
        <v>mar.</v>
      </c>
      <c r="K7" s="17" t="str">
        <f>TEXT(WEEKDAY(DATE(CalendarYear,12,10),1),"jjj")</f>
        <v>mer.</v>
      </c>
      <c r="L7" s="17" t="str">
        <f>TEXT(WEEKDAY(DATE(CalendarYear,12,11),1),"jjj")</f>
        <v>jeu.</v>
      </c>
      <c r="M7" s="17" t="str">
        <f>TEXT(WEEKDAY(DATE(CalendarYear,12,12),1),"jjj")</f>
        <v>ven.</v>
      </c>
      <c r="N7" s="17" t="str">
        <f>TEXT(WEEKDAY(DATE(CalendarYear,12,13),1),"jjj")</f>
        <v>sam.</v>
      </c>
      <c r="O7" s="17" t="str">
        <f>TEXT(WEEKDAY(DATE(CalendarYear,12,14),1),"jjj")</f>
        <v>dim.</v>
      </c>
      <c r="P7" s="17" t="str">
        <f>TEXT(WEEKDAY(DATE(CalendarYear,12,15),1),"jjj")</f>
        <v>lun.</v>
      </c>
      <c r="Q7" s="17" t="str">
        <f>TEXT(WEEKDAY(DATE(CalendarYear,12,16),1),"jjj")</f>
        <v>mar.</v>
      </c>
      <c r="R7" s="17" t="str">
        <f>TEXT(WEEKDAY(DATE(CalendarYear,12,17),1),"jjj")</f>
        <v>mer.</v>
      </c>
      <c r="S7" s="17" t="str">
        <f>TEXT(WEEKDAY(DATE(CalendarYear,12,18),1),"jjj")</f>
        <v>jeu.</v>
      </c>
      <c r="T7" s="17" t="str">
        <f>TEXT(WEEKDAY(DATE(CalendarYear,12,19),1),"jjj")</f>
        <v>ven.</v>
      </c>
      <c r="U7" s="17" t="str">
        <f>TEXT(WEEKDAY(DATE(CalendarYear,12,20),1),"jjj")</f>
        <v>sam.</v>
      </c>
      <c r="V7" s="17" t="str">
        <f>TEXT(WEEKDAY(DATE(CalendarYear,12,21),1),"jjj")</f>
        <v>dim.</v>
      </c>
      <c r="W7" s="17" t="str">
        <f>TEXT(WEEKDAY(DATE(CalendarYear,12,22),1),"jjj")</f>
        <v>lun.</v>
      </c>
      <c r="X7" s="17" t="str">
        <f>TEXT(WEEKDAY(DATE(CalendarYear,12,23),1),"jjj")</f>
        <v>mar.</v>
      </c>
      <c r="Y7" s="17" t="str">
        <f>TEXT(WEEKDAY(DATE(CalendarYear,12,24),1),"jjj")</f>
        <v>mer.</v>
      </c>
      <c r="Z7" s="17" t="str">
        <f>TEXT(WEEKDAY(DATE(CalendarYear,12,25),1),"jjj")</f>
        <v>jeu.</v>
      </c>
      <c r="AA7" s="17" t="str">
        <f>TEXT(WEEKDAY(DATE(CalendarYear,12,26),1),"jjj")</f>
        <v>ven.</v>
      </c>
      <c r="AB7" s="17" t="str">
        <f>TEXT(WEEKDAY(DATE(CalendarYear,12,27),1),"jjj")</f>
        <v>sam.</v>
      </c>
      <c r="AC7" s="17" t="str">
        <f>TEXT(WEEKDAY(DATE(CalendarYear,12,28),1),"jjj")</f>
        <v>dim.</v>
      </c>
      <c r="AD7" s="17" t="str">
        <f>TEXT(WEEKDAY(DATE(CalendarYear,12,29),1),"jjj")</f>
        <v>lun.</v>
      </c>
      <c r="AE7" s="17" t="str">
        <f>TEXT(WEEKDAY(DATE(CalendarYear,12,30),1),"jjj")</f>
        <v>mar.</v>
      </c>
      <c r="AF7" s="17" t="str">
        <f>TEXT(WEEKDAY(DATE(CalendarYear,12,31),1),"jjj")</f>
        <v>mer.</v>
      </c>
      <c r="AG7" s="17" t="str">
        <f>TEXT(WEEKDAY(DATE(CalendarYear,12,25),1),"jjj")</f>
        <v>jeu.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COUNTA(Décembre25[[#This Row],[1]:[31]])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COUNTA(Décembre25[[#This Row],[1]:[31]])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COUNTA(Décembre25[[#This Row],[1]:[31]])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COUNTA(Décembre25[[#This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COUNTA(Décembre25[[#This Row],[1]:[31]])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COUNTA(Décembre25[[#This Row],[1]:[31]])</f>
        <v>0</v>
      </c>
    </row>
    <row r="15" spans="2:34" ht="30" customHeight="1">
      <c r="B15" s="2" t="s">
        <v>45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AG15" s="29"/>
      <c r="AH15" s="29">
        <f>COUNTA(Décembre25[[#This Row],[1]:[31]])</f>
        <v>0</v>
      </c>
    </row>
    <row r="16" spans="2:34" ht="30" customHeight="1">
      <c r="B16" s="35" t="s">
        <v>46</v>
      </c>
      <c r="AG16" s="29"/>
      <c r="AH16" s="29">
        <f>COUNTA(Décembre25[[#This Row],[1]:[31]])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70" priority="14" stopIfTrue="1">
      <formula>C9="C"</formula>
    </cfRule>
    <cfRule type="expression" dxfId="69" priority="15" stopIfTrue="1">
      <formula>C9="R"</formula>
    </cfRule>
  </conditionalFormatting>
  <conditionalFormatting sqref="AH9:AH16">
    <cfRule type="dataBar" priority="13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{B99FD633-0171-4D99-8439-3B2096091D8F}</x14:id>
        </ext>
      </extLst>
    </cfRule>
  </conditionalFormatting>
  <pageMargins left="0.7" right="0.7" top="0.75" bottom="0.75" header="0.3" footer="0.3"/>
  <pageSetup paperSize="9" fitToHeight="0" orientation="portrait" verticalDpi="429496729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99FD633-0171-4D99-8439-3B2096091D8F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tabColor theme="4" tint="0.499984740745262"/>
  </sheetPr>
  <dimension ref="B1:AH16"/>
  <sheetViews>
    <sheetView showGridLines="0" topLeftCell="A4" zoomScaleNormal="100" workbookViewId="0">
      <selection activeCell="B12" sqref="B12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1" t="s">
        <v>50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3" t="s">
        <v>4</v>
      </c>
      <c r="H4" s="42"/>
      <c r="I4" s="42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TEXT(WEEKDAY(DATE(CalendarYear,3,1),1),"jjj")</f>
        <v>sam.</v>
      </c>
      <c r="D7" s="17" t="str">
        <f>TEXT(WEEKDAY(DATE(CalendarYear,3,2),1),"jjj")</f>
        <v>dim.</v>
      </c>
      <c r="E7" s="17" t="str">
        <f>TEXT(WEEKDAY(DATE(CalendarYear,3,3),1),"jjj")</f>
        <v>lun.</v>
      </c>
      <c r="F7" s="17" t="str">
        <f>TEXT(WEEKDAY(DATE(CalendarYear,3,4),1),"jjj")</f>
        <v>mar.</v>
      </c>
      <c r="G7" s="17" t="str">
        <f>TEXT(WEEKDAY(DATE(CalendarYear,3,5),1),"jjj")</f>
        <v>mer.</v>
      </c>
      <c r="H7" s="17" t="str">
        <f>TEXT(WEEKDAY(DATE(CalendarYear,3,6),1),"jjj")</f>
        <v>jeu.</v>
      </c>
      <c r="I7" s="17" t="str">
        <f>TEXT(WEEKDAY(DATE(CalendarYear,3,7),1),"jjj")</f>
        <v>ven.</v>
      </c>
      <c r="J7" s="17" t="str">
        <f>TEXT(WEEKDAY(DATE(CalendarYear,3,8),1),"jjj")</f>
        <v>sam.</v>
      </c>
      <c r="K7" s="17" t="str">
        <f>TEXT(WEEKDAY(DATE(CalendarYear,3,9),1),"jjj")</f>
        <v>dim.</v>
      </c>
      <c r="L7" s="17" t="str">
        <f>TEXT(WEEKDAY(DATE(CalendarYear,3,10),1),"jjj")</f>
        <v>lun.</v>
      </c>
      <c r="M7" s="17" t="str">
        <f>TEXT(WEEKDAY(DATE(CalendarYear,3,11),1),"jjj")</f>
        <v>mar.</v>
      </c>
      <c r="N7" s="17" t="str">
        <f>TEXT(WEEKDAY(DATE(CalendarYear,3,12),1),"jjj")</f>
        <v>mer.</v>
      </c>
      <c r="O7" s="17" t="str">
        <f>TEXT(WEEKDAY(DATE(CalendarYear,3,13),1),"jjj")</f>
        <v>jeu.</v>
      </c>
      <c r="P7" s="17" t="str">
        <f>TEXT(WEEKDAY(DATE(CalendarYear,3,14),1),"jjj")</f>
        <v>ven.</v>
      </c>
      <c r="Q7" s="17" t="str">
        <f>TEXT(WEEKDAY(DATE(CalendarYear,3,15),1),"jjj")</f>
        <v>sam.</v>
      </c>
      <c r="R7" s="17" t="str">
        <f>TEXT(WEEKDAY(DATE(CalendarYear,3,16),1),"jjj")</f>
        <v>dim.</v>
      </c>
      <c r="S7" s="17" t="str">
        <f>TEXT(WEEKDAY(DATE(CalendarYear,3,17),1),"jjj")</f>
        <v>lun.</v>
      </c>
      <c r="T7" s="17" t="str">
        <f>TEXT(WEEKDAY(DATE(CalendarYear,3,18),1),"jjj")</f>
        <v>mar.</v>
      </c>
      <c r="U7" s="17" t="str">
        <f>TEXT(WEEKDAY(DATE(CalendarYear,3,19),1),"jjj")</f>
        <v>mer.</v>
      </c>
      <c r="V7" s="17" t="str">
        <f>TEXT(WEEKDAY(DATE(CalendarYear,3,20),1),"jjj")</f>
        <v>jeu.</v>
      </c>
      <c r="W7" s="17" t="str">
        <f>TEXT(WEEKDAY(DATE(CalendarYear,3,21),1),"jjj")</f>
        <v>ven.</v>
      </c>
      <c r="X7" s="17" t="str">
        <f>TEXT(WEEKDAY(DATE(CalendarYear,3,22),1),"jjj")</f>
        <v>sam.</v>
      </c>
      <c r="Y7" s="17" t="str">
        <f>TEXT(WEEKDAY(DATE(CalendarYear,3,23),1),"jjj")</f>
        <v>dim.</v>
      </c>
      <c r="Z7" s="17" t="str">
        <f>TEXT(WEEKDAY(DATE(CalendarYear,3,24),1),"jjj")</f>
        <v>lun.</v>
      </c>
      <c r="AA7" s="17" t="str">
        <f>TEXT(WEEKDAY(DATE(CalendarYear,3,25),1),"jjj")</f>
        <v>mar.</v>
      </c>
      <c r="AB7" s="17" t="str">
        <f>TEXT(WEEKDAY(DATE(CalendarYear,3,26),1),"jjj")</f>
        <v>mer.</v>
      </c>
      <c r="AC7" s="17" t="str">
        <f>TEXT(WEEKDAY(DATE(CalendarYear,3,27),1),"jjj")</f>
        <v>jeu.</v>
      </c>
      <c r="AD7" s="17" t="str">
        <f>TEXT(WEEKDAY(DATE(CalendarYear,3,28),1),"jjj")</f>
        <v>ven.</v>
      </c>
      <c r="AE7" s="17" t="str">
        <f>TEXT(WEEKDAY(DATE(CalendarYear,3,29),1),"jjj")</f>
        <v>sam.</v>
      </c>
      <c r="AF7" s="17" t="str">
        <f>TEXT(WEEKDAY(DATE(CalendarYear,3,30),1),"jjj")</f>
        <v>dim.</v>
      </c>
      <c r="AG7" s="17" t="str">
        <f>TEXT(WEEKDAY(DATE(CalendarYear,3,31),1),"jjj")</f>
        <v>lun.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COUNTA(Mars[[#This Row],[1]:[31]])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COUNTA(Mars[[#This Row],[1]:[31]])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COUNTA(Mars[[#This Row],[1]:[31]])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COUNTA(Mars[[#This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COUNTA(Mars[[#This Row],[1]:[31]])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COUNTA(Mars[[#This Row],[1]:[31]])</f>
        <v>0</v>
      </c>
    </row>
    <row r="15" spans="2:34" ht="30" customHeight="1">
      <c r="B15" s="2" t="s">
        <v>45</v>
      </c>
      <c r="AG15" s="29"/>
      <c r="AH15" s="29">
        <f>COUNTA(Mars[[#This Row],[1]:[31]])</f>
        <v>0</v>
      </c>
    </row>
    <row r="16" spans="2:34" ht="30" customHeight="1">
      <c r="B16" s="35" t="s">
        <v>46</v>
      </c>
      <c r="AG16" s="29"/>
      <c r="AH16" s="29">
        <f>COUNTA(Mars[[#This Row],[1]:[31]])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1575" priority="8" stopIfTrue="1">
      <formula>C9="C"</formula>
    </cfRule>
    <cfRule type="expression" dxfId="1574" priority="9" stopIfTrue="1">
      <formula>C9="R"</formula>
    </cfRule>
  </conditionalFormatting>
  <conditionalFormatting sqref="AH9:AH16">
    <cfRule type="dataBar" priority="7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{7C2B6C3E-666E-4369-8C57-FD32A7D03A3C}</x14:id>
        </ext>
      </extLst>
    </cfRule>
  </conditionalFormatting>
  <pageMargins left="0.7" right="0.7" top="0.75" bottom="0.75" header="0.3" footer="0.3"/>
  <pageSetup paperSize="9" fitToHeight="0" orientation="portrait" verticalDpi="4294967293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C2B6C3E-666E-4369-8C57-FD32A7D03A3C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tabColor theme="4" tint="0.499984740745262"/>
  </sheetPr>
  <dimension ref="B1:AH16"/>
  <sheetViews>
    <sheetView showGridLines="0" topLeftCell="A4" zoomScaleNormal="100" workbookViewId="0">
      <selection activeCell="B12" sqref="B12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2" t="s">
        <v>51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TEXT(WEEKDAY(DATE(CalendarYear,4,1),1),"jjj")</f>
        <v>mar.</v>
      </c>
      <c r="D7" s="17" t="str">
        <f>TEXT(WEEKDAY(DATE(CalendarYear,4,2),1),"jjj")</f>
        <v>mer.</v>
      </c>
      <c r="E7" s="17" t="str">
        <f>TEXT(WEEKDAY(DATE(CalendarYear,4,3),1),"jjj")</f>
        <v>jeu.</v>
      </c>
      <c r="F7" s="17" t="str">
        <f>TEXT(WEEKDAY(DATE(CalendarYear,4,4),1),"jjj")</f>
        <v>ven.</v>
      </c>
      <c r="G7" s="17" t="str">
        <f>TEXT(WEEKDAY(DATE(CalendarYear,4,5),1),"jjj")</f>
        <v>sam.</v>
      </c>
      <c r="H7" s="17" t="str">
        <f>TEXT(WEEKDAY(DATE(CalendarYear,4,6),1),"jjj")</f>
        <v>dim.</v>
      </c>
      <c r="I7" s="17" t="str">
        <f>TEXT(WEEKDAY(DATE(CalendarYear,4,7),1),"jjj")</f>
        <v>lun.</v>
      </c>
      <c r="J7" s="17" t="str">
        <f>TEXT(WEEKDAY(DATE(CalendarYear,4,8),1),"jjj")</f>
        <v>mar.</v>
      </c>
      <c r="K7" s="17" t="str">
        <f>TEXT(WEEKDAY(DATE(CalendarYear,4,9),1),"jjj")</f>
        <v>mer.</v>
      </c>
      <c r="L7" s="17" t="str">
        <f>TEXT(WEEKDAY(DATE(CalendarYear,4,10),1),"jjj")</f>
        <v>jeu.</v>
      </c>
      <c r="M7" s="17" t="str">
        <f>TEXT(WEEKDAY(DATE(CalendarYear,4,11),1),"jjj")</f>
        <v>ven.</v>
      </c>
      <c r="N7" s="17" t="str">
        <f>TEXT(WEEKDAY(DATE(CalendarYear,4,12),1),"jjj")</f>
        <v>sam.</v>
      </c>
      <c r="O7" s="17" t="str">
        <f>TEXT(WEEKDAY(DATE(CalendarYear,4,13),1),"jjj")</f>
        <v>dim.</v>
      </c>
      <c r="P7" s="17" t="str">
        <f>TEXT(WEEKDAY(DATE(CalendarYear,4,14),1),"jjj")</f>
        <v>lun.</v>
      </c>
      <c r="Q7" s="17" t="str">
        <f>TEXT(WEEKDAY(DATE(CalendarYear,4,15),1),"jjj")</f>
        <v>mar.</v>
      </c>
      <c r="R7" s="17" t="str">
        <f>TEXT(WEEKDAY(DATE(CalendarYear,4,16),1),"jjj")</f>
        <v>mer.</v>
      </c>
      <c r="S7" s="17" t="str">
        <f>TEXT(WEEKDAY(DATE(CalendarYear,4,17),1),"jjj")</f>
        <v>jeu.</v>
      </c>
      <c r="T7" s="17" t="str">
        <f>TEXT(WEEKDAY(DATE(CalendarYear,4,18),1),"jjj")</f>
        <v>ven.</v>
      </c>
      <c r="U7" s="17" t="str">
        <f>TEXT(WEEKDAY(DATE(CalendarYear,4,19),1),"jjj")</f>
        <v>sam.</v>
      </c>
      <c r="V7" s="17" t="str">
        <f>TEXT(WEEKDAY(DATE(CalendarYear,4,20),1),"jjj")</f>
        <v>dim.</v>
      </c>
      <c r="W7" s="17" t="str">
        <f>TEXT(WEEKDAY(DATE(CalendarYear,4,21),1),"jjj")</f>
        <v>lun.</v>
      </c>
      <c r="X7" s="17" t="str">
        <f>TEXT(WEEKDAY(DATE(CalendarYear,4,22),1),"jjj")</f>
        <v>mar.</v>
      </c>
      <c r="Y7" s="17" t="str">
        <f>TEXT(WEEKDAY(DATE(CalendarYear,4,23),1),"jjj")</f>
        <v>mer.</v>
      </c>
      <c r="Z7" s="17" t="str">
        <f>TEXT(WEEKDAY(DATE(CalendarYear,4,24),1),"jjj")</f>
        <v>jeu.</v>
      </c>
      <c r="AA7" s="17" t="str">
        <f>TEXT(WEEKDAY(DATE(CalendarYear,4,25),1),"jjj")</f>
        <v>ven.</v>
      </c>
      <c r="AB7" s="17" t="str">
        <f>TEXT(WEEKDAY(DATE(CalendarYear,4,26),1),"jjj")</f>
        <v>sam.</v>
      </c>
      <c r="AC7" s="17" t="str">
        <f>TEXT(WEEKDAY(DATE(CalendarYear,4,27),1),"jjj")</f>
        <v>dim.</v>
      </c>
      <c r="AD7" s="17" t="str">
        <f>TEXT(WEEKDAY(DATE(CalendarYear,4,28),1),"jjj")</f>
        <v>lun.</v>
      </c>
      <c r="AE7" s="17" t="str">
        <f>TEXT(WEEKDAY(DATE(CalendarYear,4,29),1),"jjj")</f>
        <v>mar.</v>
      </c>
      <c r="AF7" s="17" t="str">
        <f>TEXT(WEEKDAY(DATE(CalendarYear,4,30),1),"jjj")</f>
        <v>mer.</v>
      </c>
      <c r="AG7" s="17"/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48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COUNTA(March5[[#This Row],[1]:[ 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COUNTA(March5[[#This Row],[1]:[ 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COUNTA(March5[[#This Row],[1]:[ 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COUNTA(March5[[#This Row],[1]:[ 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COUNTA(March5[[#This Row],[1]:[ 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COUNTA(March5[[#This Row],[1]:[ ]])</f>
        <v>0</v>
      </c>
    </row>
    <row r="15" spans="2:34" ht="30" customHeight="1">
      <c r="B15" s="2" t="s">
        <v>45</v>
      </c>
      <c r="AG15" s="29"/>
      <c r="AH15" s="29">
        <f>COUNTA(March5[[#This Row],[1]:[ ]])</f>
        <v>0</v>
      </c>
    </row>
    <row r="16" spans="2:34" ht="30" customHeight="1">
      <c r="B16" s="35" t="s">
        <v>46</v>
      </c>
      <c r="AG16" s="29"/>
      <c r="AH16" s="29">
        <f>COUNTA(March5[[#This Row],[1]:[ 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5" type="noConversion"/>
  <conditionalFormatting sqref="C9:AG16">
    <cfRule type="expression" dxfId="1504" priority="8" stopIfTrue="1">
      <formula>C9="C"</formula>
    </cfRule>
    <cfRule type="expression" dxfId="1503" priority="9" stopIfTrue="1">
      <formula>C9="R"</formula>
    </cfRule>
  </conditionalFormatting>
  <conditionalFormatting sqref="AH9:AH16">
    <cfRule type="dataBar" priority="7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{C6C51CE4-E5A5-6548-B677-75BFC57A1AE7}</x14:id>
        </ext>
      </extLst>
    </cfRule>
  </conditionalFormatting>
  <pageMargins left="0.7" right="0.7" top="0.75" bottom="0.75" header="0.3" footer="0.3"/>
  <pageSetup paperSize="9" fitToHeight="0" orientation="portrait" verticalDpi="4294967293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6C51CE4-E5A5-6548-B677-75BFC57A1AE7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tabColor theme="4" tint="0.499984740745262"/>
  </sheetPr>
  <dimension ref="B1:AH16"/>
  <sheetViews>
    <sheetView showGridLines="0" topLeftCell="A4" zoomScaleNormal="100" workbookViewId="0">
      <selection activeCell="B12" sqref="B12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2" t="s">
        <v>52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TEXT(WEEKDAY(DATE(CalendarYear,5,1),1),"jjj")</f>
        <v>jeu.</v>
      </c>
      <c r="D7" s="17" t="str">
        <f>TEXT(WEEKDAY(DATE(CalendarYear,5,2),1),"jjj")</f>
        <v>ven.</v>
      </c>
      <c r="E7" s="17" t="str">
        <f>TEXT(WEEKDAY(DATE(CalendarYear,5,3),1),"jjj")</f>
        <v>sam.</v>
      </c>
      <c r="F7" s="17" t="str">
        <f>TEXT(WEEKDAY(DATE(CalendarYear,5,4),1),"jjj")</f>
        <v>dim.</v>
      </c>
      <c r="G7" s="17" t="str">
        <f>TEXT(WEEKDAY(DATE(CalendarYear,5,5),1),"jjj")</f>
        <v>lun.</v>
      </c>
      <c r="H7" s="17" t="str">
        <f>TEXT(WEEKDAY(DATE(CalendarYear,5,6),1),"jjj")</f>
        <v>mar.</v>
      </c>
      <c r="I7" s="17" t="str">
        <f>TEXT(WEEKDAY(DATE(CalendarYear,5,7),1),"jjj")</f>
        <v>mer.</v>
      </c>
      <c r="J7" s="17" t="str">
        <f>TEXT(WEEKDAY(DATE(CalendarYear,5,8),1),"jjj")</f>
        <v>jeu.</v>
      </c>
      <c r="K7" s="17" t="str">
        <f>TEXT(WEEKDAY(DATE(CalendarYear,5,9),1),"jjj")</f>
        <v>ven.</v>
      </c>
      <c r="L7" s="17" t="str">
        <f>TEXT(WEEKDAY(DATE(CalendarYear,5,10),1),"jjj")</f>
        <v>sam.</v>
      </c>
      <c r="M7" s="17" t="str">
        <f>TEXT(WEEKDAY(DATE(CalendarYear,5,11),1),"jjj")</f>
        <v>dim.</v>
      </c>
      <c r="N7" s="17" t="str">
        <f>TEXT(WEEKDAY(DATE(CalendarYear,5,12),1),"jjj")</f>
        <v>lun.</v>
      </c>
      <c r="O7" s="17" t="str">
        <f>TEXT(WEEKDAY(DATE(CalendarYear,5,13),1),"jjj")</f>
        <v>mar.</v>
      </c>
      <c r="P7" s="17" t="str">
        <f>TEXT(WEEKDAY(DATE(CalendarYear,5,14),1),"jjj")</f>
        <v>mer.</v>
      </c>
      <c r="Q7" s="17" t="str">
        <f>TEXT(WEEKDAY(DATE(CalendarYear,5,15),1),"jjj")</f>
        <v>jeu.</v>
      </c>
      <c r="R7" s="17" t="str">
        <f>TEXT(WEEKDAY(DATE(CalendarYear,5,16),1),"jjj")</f>
        <v>ven.</v>
      </c>
      <c r="S7" s="17" t="str">
        <f>TEXT(WEEKDAY(DATE(CalendarYear,5,17),1),"jjj")</f>
        <v>sam.</v>
      </c>
      <c r="T7" s="17" t="str">
        <f>TEXT(WEEKDAY(DATE(CalendarYear,5,18),1),"jjj")</f>
        <v>dim.</v>
      </c>
      <c r="U7" s="17" t="str">
        <f>TEXT(WEEKDAY(DATE(CalendarYear,5,19),1),"jjj")</f>
        <v>lun.</v>
      </c>
      <c r="V7" s="17" t="str">
        <f>TEXT(WEEKDAY(DATE(CalendarYear,5,20),1),"jjj")</f>
        <v>mar.</v>
      </c>
      <c r="W7" s="17" t="str">
        <f>TEXT(WEEKDAY(DATE(CalendarYear,5,21),1),"jjj")</f>
        <v>mer.</v>
      </c>
      <c r="X7" s="17" t="str">
        <f>TEXT(WEEKDAY(DATE(CalendarYear,5,22),1),"jjj")</f>
        <v>jeu.</v>
      </c>
      <c r="Y7" s="17" t="str">
        <f>TEXT(WEEKDAY(DATE(CalendarYear,5,23),1),"jjj")</f>
        <v>ven.</v>
      </c>
      <c r="Z7" s="17" t="str">
        <f>TEXT(WEEKDAY(DATE(CalendarYear,5,24),1),"jjj")</f>
        <v>sam.</v>
      </c>
      <c r="AA7" s="17" t="str">
        <f>TEXT(WEEKDAY(DATE(CalendarYear,5,25),1),"jjj")</f>
        <v>dim.</v>
      </c>
      <c r="AB7" s="17" t="str">
        <f>TEXT(WEEKDAY(DATE(CalendarYear,5,26),1),"jjj")</f>
        <v>lun.</v>
      </c>
      <c r="AC7" s="17" t="str">
        <f>TEXT(WEEKDAY(DATE(CalendarYear,5,27),1),"jjj")</f>
        <v>mar.</v>
      </c>
      <c r="AD7" s="17" t="str">
        <f>TEXT(WEEKDAY(DATE(CalendarYear,5,28),1),"jjj")</f>
        <v>mer.</v>
      </c>
      <c r="AE7" s="17" t="str">
        <f>TEXT(WEEKDAY(DATE(CalendarYear,5,29),1),"jjj")</f>
        <v>jeu.</v>
      </c>
      <c r="AF7" s="17" t="str">
        <f>TEXT(WEEKDAY(DATE(CalendarYear,5,30),1),"jjj")</f>
        <v>ven.</v>
      </c>
      <c r="AG7" s="17" t="str">
        <f>TEXT(WEEKDAY(DATE(CalendarYear,5,31),1),"jjj")</f>
        <v>sam.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 t="s">
        <v>1</v>
      </c>
      <c r="P9" s="1" t="s">
        <v>1</v>
      </c>
      <c r="Q9" s="1" t="s">
        <v>1</v>
      </c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COUNTA(March58[[#This Row],[1]:[31]])</f>
        <v>3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 t="s">
        <v>1</v>
      </c>
      <c r="Z10" s="1" t="s">
        <v>1</v>
      </c>
      <c r="AA10" s="1" t="s">
        <v>1</v>
      </c>
      <c r="AB10" s="1" t="s">
        <v>1</v>
      </c>
      <c r="AC10" s="1"/>
      <c r="AD10" s="1"/>
      <c r="AE10" s="1"/>
      <c r="AF10" s="1"/>
      <c r="AG10" s="1"/>
      <c r="AH10" s="3">
        <f>COUNTA(March58[[#This Row],[1]:[31]])</f>
        <v>4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 t="s">
        <v>1</v>
      </c>
      <c r="AH11" s="3">
        <f>COUNTA(March58[[#This Row],[1]:[31]])</f>
        <v>1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8"/>
      <c r="AH12" s="3">
        <f>COUNTA(March58[[#This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 t="s">
        <v>1</v>
      </c>
      <c r="AH13" s="3">
        <f>COUNTA(March58[[#This Row],[1]:[31]])</f>
        <v>1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COUNTA(March58[[#This Row],[1]:[31]])</f>
        <v>0</v>
      </c>
    </row>
    <row r="15" spans="2:34" ht="30" customHeight="1">
      <c r="B15" s="2" t="s">
        <v>45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9"/>
      <c r="AH15" s="29">
        <f>COUNTA(March58[[#This Row],[1]:[31]])</f>
        <v>0</v>
      </c>
    </row>
    <row r="16" spans="2:34" ht="30" customHeight="1">
      <c r="B16" s="35" t="s">
        <v>46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 t="s">
        <v>3</v>
      </c>
      <c r="AA16" s="1" t="s">
        <v>3</v>
      </c>
      <c r="AB16" s="1"/>
      <c r="AC16" s="1"/>
      <c r="AD16" s="1"/>
      <c r="AE16" s="1"/>
      <c r="AF16" s="1"/>
      <c r="AG16" s="29"/>
      <c r="AH16" s="29">
        <f>COUNTA(March58[[#This Row],[1]:[31]])</f>
        <v>2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1433" priority="11" stopIfTrue="1">
      <formula>C9="C"</formula>
    </cfRule>
    <cfRule type="expression" dxfId="1432" priority="12" stopIfTrue="1">
      <formula>C9="R"</formula>
    </cfRule>
  </conditionalFormatting>
  <conditionalFormatting sqref="AH9:AH16">
    <cfRule type="dataBar" priority="10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{A375B1A4-CE4E-6D4B-BAE6-14354F30C96E}</x14:id>
        </ext>
      </extLst>
    </cfRule>
  </conditionalFormatting>
  <pageMargins left="0.7" right="0.7" top="0.75" bottom="0.75" header="0.3" footer="0.3"/>
  <pageSetup paperSize="9" fitToHeight="0" orientation="portrait" verticalDpi="4294967293" r:id="rId1"/>
  <legacy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375B1A4-CE4E-6D4B-BAE6-14354F30C96E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>
    <tabColor theme="8"/>
  </sheetPr>
  <dimension ref="B1:AH16"/>
  <sheetViews>
    <sheetView showGridLines="0" topLeftCell="A6" zoomScaleNormal="100" workbookViewId="0">
      <selection activeCell="O15" sqref="O15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5" t="s">
        <v>53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TEXT(WEEKDAY(DATE(CalendarYear,6,1),1),"jjj")</f>
        <v>dim.</v>
      </c>
      <c r="D7" s="17" t="str">
        <f>TEXT(WEEKDAY(DATE(CalendarYear,6,2),1),"jjj")</f>
        <v>lun.</v>
      </c>
      <c r="E7" s="17" t="str">
        <f>TEXT(WEEKDAY(DATE(CalendarYear,6,3),1),"jjj")</f>
        <v>mar.</v>
      </c>
      <c r="F7" s="17" t="str">
        <f>TEXT(WEEKDAY(DATE(CalendarYear,6,4),1),"jjj")</f>
        <v>mer.</v>
      </c>
      <c r="G7" s="17" t="str">
        <f>TEXT(WEEKDAY(DATE(CalendarYear,6,5),1),"jjj")</f>
        <v>jeu.</v>
      </c>
      <c r="H7" s="17" t="str">
        <f>TEXT(WEEKDAY(DATE(CalendarYear,6,6),1),"jjj")</f>
        <v>ven.</v>
      </c>
      <c r="I7" s="17" t="str">
        <f>TEXT(WEEKDAY(DATE(CalendarYear,6,7),1),"jjj")</f>
        <v>sam.</v>
      </c>
      <c r="J7" s="17" t="str">
        <f>TEXT(WEEKDAY(DATE(CalendarYear,6,8),1),"jjj")</f>
        <v>dim.</v>
      </c>
      <c r="K7" s="17" t="str">
        <f>TEXT(WEEKDAY(DATE(CalendarYear,6,9),1),"jjj")</f>
        <v>lun.</v>
      </c>
      <c r="L7" s="17" t="str">
        <f>TEXT(WEEKDAY(DATE(CalendarYear,6,10),1),"jjj")</f>
        <v>mar.</v>
      </c>
      <c r="M7" s="17" t="str">
        <f>TEXT(WEEKDAY(DATE(CalendarYear,6,11),1),"jjj")</f>
        <v>mer.</v>
      </c>
      <c r="N7" s="17" t="str">
        <f>TEXT(WEEKDAY(DATE(CalendarYear,6,12),1),"jjj")</f>
        <v>jeu.</v>
      </c>
      <c r="O7" s="17" t="str">
        <f>TEXT(WEEKDAY(DATE(CalendarYear,6,13),1),"jjj")</f>
        <v>ven.</v>
      </c>
      <c r="P7" s="17" t="str">
        <f>TEXT(WEEKDAY(DATE(CalendarYear,6,14),1),"jjj")</f>
        <v>sam.</v>
      </c>
      <c r="Q7" s="17" t="str">
        <f>TEXT(WEEKDAY(DATE(CalendarYear,6,15),1),"jjj")</f>
        <v>dim.</v>
      </c>
      <c r="R7" s="17" t="str">
        <f>TEXT(WEEKDAY(DATE(CalendarYear,6,16),1),"jjj")</f>
        <v>lun.</v>
      </c>
      <c r="S7" s="17" t="str">
        <f>TEXT(WEEKDAY(DATE(CalendarYear,6,17),1),"jjj")</f>
        <v>mar.</v>
      </c>
      <c r="T7" s="17" t="str">
        <f>TEXT(WEEKDAY(DATE(CalendarYear,6,18),1),"jjj")</f>
        <v>mer.</v>
      </c>
      <c r="U7" s="17" t="str">
        <f>TEXT(WEEKDAY(DATE(CalendarYear,6,19),1),"jjj")</f>
        <v>jeu.</v>
      </c>
      <c r="V7" s="17" t="str">
        <f>TEXT(WEEKDAY(DATE(CalendarYear,6,20),1),"jjj")</f>
        <v>ven.</v>
      </c>
      <c r="W7" s="17" t="str">
        <f>TEXT(WEEKDAY(DATE(CalendarYear,6,21),1),"jjj")</f>
        <v>sam.</v>
      </c>
      <c r="X7" s="17" t="str">
        <f>TEXT(WEEKDAY(DATE(CalendarYear,6,22),1),"jjj")</f>
        <v>dim.</v>
      </c>
      <c r="Y7" s="17" t="str">
        <f>TEXT(WEEKDAY(DATE(CalendarYear,6,23),1),"jjj")</f>
        <v>lun.</v>
      </c>
      <c r="Z7" s="17" t="str">
        <f>TEXT(WEEKDAY(DATE(CalendarYear,6,24),1),"jjj")</f>
        <v>mar.</v>
      </c>
      <c r="AA7" s="17" t="str">
        <f>TEXT(WEEKDAY(DATE(CalendarYear,6,25),1),"jjj")</f>
        <v>mer.</v>
      </c>
      <c r="AB7" s="17" t="str">
        <f>TEXT(WEEKDAY(DATE(CalendarYear,6,26),1),"jjj")</f>
        <v>jeu.</v>
      </c>
      <c r="AC7" s="17" t="str">
        <f>TEXT(WEEKDAY(DATE(CalendarYear,6,27),1),"jjj")</f>
        <v>ven.</v>
      </c>
      <c r="AD7" s="17" t="str">
        <f>TEXT(WEEKDAY(DATE(CalendarYear,6,28),1),"jjj")</f>
        <v>sam.</v>
      </c>
      <c r="AE7" s="17" t="str">
        <f>TEXT(WEEKDAY(DATE(CalendarYear,6,29),1),"jjj")</f>
        <v>dim.</v>
      </c>
      <c r="AF7" s="17" t="str">
        <f>TEXT(WEEKDAY(DATE(CalendarYear,6,30),1),"jjj")</f>
        <v>lun.</v>
      </c>
      <c r="AG7" s="17"/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48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COUNTA(Juin[[#This Row],[1]:[ 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 t="s">
        <v>1</v>
      </c>
      <c r="O10" s="1" t="s">
        <v>1</v>
      </c>
      <c r="P10" s="1" t="s">
        <v>1</v>
      </c>
      <c r="Q10" s="1" t="s">
        <v>1</v>
      </c>
      <c r="R10" s="1" t="s">
        <v>1</v>
      </c>
      <c r="S10" s="1"/>
      <c r="T10" s="1"/>
      <c r="U10" s="1"/>
      <c r="V10" s="1"/>
      <c r="W10" s="1" t="s">
        <v>1</v>
      </c>
      <c r="X10" s="1" t="s">
        <v>1</v>
      </c>
      <c r="Y10" s="1"/>
      <c r="Z10" s="1"/>
      <c r="AA10" s="1"/>
      <c r="AB10" s="1"/>
      <c r="AC10" s="1"/>
      <c r="AD10" s="1"/>
      <c r="AE10" s="1"/>
      <c r="AF10" s="1"/>
      <c r="AG10" s="1"/>
      <c r="AH10" s="3">
        <f>COUNTA(Juin[[#This Row],[1]:[ ]])</f>
        <v>7</v>
      </c>
    </row>
    <row r="11" spans="2:34" ht="30" customHeight="1">
      <c r="B11" s="2" t="s">
        <v>41</v>
      </c>
      <c r="C11" s="1" t="s">
        <v>1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 t="s">
        <v>1</v>
      </c>
      <c r="P11" s="1" t="s">
        <v>1</v>
      </c>
      <c r="Q11" s="1" t="s">
        <v>1</v>
      </c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COUNTA(Juin[[#This Row],[1]:[ ]])</f>
        <v>4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 t="s">
        <v>1</v>
      </c>
      <c r="P12" s="37" t="s">
        <v>1</v>
      </c>
      <c r="Q12" s="37" t="s">
        <v>1</v>
      </c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8"/>
      <c r="AH12" s="3">
        <f>COUNTA(Juin[[#This Row],[1]:[ ]])</f>
        <v>3</v>
      </c>
    </row>
    <row r="13" spans="2:34" ht="30" customHeight="1">
      <c r="B13" s="2" t="s">
        <v>43</v>
      </c>
      <c r="C13" s="1" t="s">
        <v>1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 t="s">
        <v>1</v>
      </c>
      <c r="P13" s="1" t="s">
        <v>1</v>
      </c>
      <c r="Q13" s="1" t="s">
        <v>1</v>
      </c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COUNTA(Juin[[#This Row],[1]:[ ]])</f>
        <v>4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 t="s">
        <v>1</v>
      </c>
      <c r="P14" s="1" t="s">
        <v>1</v>
      </c>
      <c r="Q14" s="1" t="s">
        <v>1</v>
      </c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COUNTA(Juin[[#This Row],[1]:[ ]])</f>
        <v>3</v>
      </c>
    </row>
    <row r="15" spans="2:34" ht="30" customHeight="1">
      <c r="B15" s="2" t="s">
        <v>45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 t="s">
        <v>1</v>
      </c>
      <c r="O15" s="1" t="s">
        <v>1</v>
      </c>
      <c r="P15" s="1" t="s">
        <v>1</v>
      </c>
      <c r="Q15" s="1" t="s">
        <v>1</v>
      </c>
      <c r="R15" s="1" t="s">
        <v>1</v>
      </c>
      <c r="S15" s="1"/>
      <c r="T15" s="1"/>
      <c r="U15" s="1"/>
      <c r="V15" s="1"/>
      <c r="W15" s="1" t="s">
        <v>1</v>
      </c>
      <c r="X15" s="1" t="s">
        <v>1</v>
      </c>
      <c r="Y15" s="1"/>
      <c r="Z15" s="1"/>
      <c r="AA15" s="1"/>
      <c r="AB15" s="1"/>
      <c r="AC15" s="1"/>
      <c r="AD15" s="1"/>
      <c r="AE15" s="1"/>
      <c r="AF15" s="1"/>
      <c r="AG15" s="29"/>
      <c r="AH15" s="29">
        <f>COUNTA(Juin[[#This Row],[1]:[ ]])</f>
        <v>7</v>
      </c>
    </row>
    <row r="16" spans="2:34" ht="30" customHeight="1">
      <c r="B16" s="2" t="s">
        <v>46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 t="s">
        <v>3</v>
      </c>
      <c r="Q16" s="1" t="s">
        <v>3</v>
      </c>
      <c r="R16" s="1"/>
      <c r="S16" s="1"/>
      <c r="T16" s="1"/>
      <c r="U16" s="1"/>
      <c r="V16" s="1" t="s">
        <v>1</v>
      </c>
      <c r="W16" s="1" t="s">
        <v>1</v>
      </c>
      <c r="X16" s="1" t="s">
        <v>1</v>
      </c>
      <c r="Y16" s="1" t="s">
        <v>1</v>
      </c>
      <c r="Z16" s="1" t="s">
        <v>1</v>
      </c>
      <c r="AA16" s="1" t="s">
        <v>1</v>
      </c>
      <c r="AB16" s="1"/>
      <c r="AC16" s="1"/>
      <c r="AD16" s="1" t="s">
        <v>3</v>
      </c>
      <c r="AE16" s="1" t="s">
        <v>3</v>
      </c>
      <c r="AF16" s="1"/>
      <c r="AG16" s="29"/>
      <c r="AH16" s="29">
        <f>COUNTA(Juin[[#This Row],[1]:[ ]])</f>
        <v>10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1362" priority="8" stopIfTrue="1">
      <formula>C9="C"</formula>
    </cfRule>
    <cfRule type="expression" dxfId="1361" priority="9" stopIfTrue="1">
      <formula>C9="R"</formula>
    </cfRule>
  </conditionalFormatting>
  <conditionalFormatting sqref="AH9:AH16">
    <cfRule type="dataBar" priority="7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{5E94D469-7B22-408B-924D-8DC8A136AD3B}</x14:id>
        </ext>
      </extLst>
    </cfRule>
  </conditionalFormatting>
  <pageMargins left="0.7" right="0.7" top="0.75" bottom="0.75" header="0.3" footer="0.3"/>
  <pageSetup paperSize="9" fitToHeight="0" orientation="portrait" verticalDpi="4294967293" r:id="rId1"/>
  <legacy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E94D469-7B22-408B-924D-8DC8A136AD3B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>
    <tabColor theme="8"/>
  </sheetPr>
  <dimension ref="B1:AH16"/>
  <sheetViews>
    <sheetView showGridLines="0" topLeftCell="A6" zoomScaleNormal="100" workbookViewId="0">
      <selection activeCell="B12" sqref="B12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6" t="s">
        <v>54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TEXT(WEEKDAY(DATE(CalendarYear,7,1),1),"jjj")</f>
        <v>mar.</v>
      </c>
      <c r="D7" s="17" t="str">
        <f>TEXT(WEEKDAY(DATE(CalendarYear,7,2),1),"jjj")</f>
        <v>mer.</v>
      </c>
      <c r="E7" s="17" t="str">
        <f>TEXT(WEEKDAY(DATE(CalendarYear,7,3),1),"jjj")</f>
        <v>jeu.</v>
      </c>
      <c r="F7" s="17" t="str">
        <f>TEXT(WEEKDAY(DATE(CalendarYear,7,4),1),"jjj")</f>
        <v>ven.</v>
      </c>
      <c r="G7" s="17" t="str">
        <f>TEXT(WEEKDAY(DATE(CalendarYear,7,5),1),"jjj")</f>
        <v>sam.</v>
      </c>
      <c r="H7" s="17" t="str">
        <f>TEXT(WEEKDAY(DATE(CalendarYear,7,6),1),"jjj")</f>
        <v>dim.</v>
      </c>
      <c r="I7" s="17" t="str">
        <f>TEXT(WEEKDAY(DATE(CalendarYear,7,7),1),"jjj")</f>
        <v>lun.</v>
      </c>
      <c r="J7" s="17" t="str">
        <f>TEXT(WEEKDAY(DATE(CalendarYear,7,8),1),"jjj")</f>
        <v>mar.</v>
      </c>
      <c r="K7" s="17" t="str">
        <f>TEXT(WEEKDAY(DATE(CalendarYear,7,9),1),"jjj")</f>
        <v>mer.</v>
      </c>
      <c r="L7" s="17" t="str">
        <f>TEXT(WEEKDAY(DATE(CalendarYear,7,10),1),"jjj")</f>
        <v>jeu.</v>
      </c>
      <c r="M7" s="17" t="str">
        <f>TEXT(WEEKDAY(DATE(CalendarYear,7,11),1),"jjj")</f>
        <v>ven.</v>
      </c>
      <c r="N7" s="17" t="str">
        <f>TEXT(WEEKDAY(DATE(CalendarYear,7,12),1),"jjj")</f>
        <v>sam.</v>
      </c>
      <c r="O7" s="17" t="str">
        <f>TEXT(WEEKDAY(DATE(CalendarYear,7,13),1),"jjj")</f>
        <v>dim.</v>
      </c>
      <c r="P7" s="17" t="str">
        <f>TEXT(WEEKDAY(DATE(CalendarYear,7,14),1),"jjj")</f>
        <v>lun.</v>
      </c>
      <c r="Q7" s="17" t="str">
        <f>TEXT(WEEKDAY(DATE(CalendarYear,7,15),1),"jjj")</f>
        <v>mar.</v>
      </c>
      <c r="R7" s="17" t="str">
        <f>TEXT(WEEKDAY(DATE(CalendarYear,7,16),1),"jjj")</f>
        <v>mer.</v>
      </c>
      <c r="S7" s="17" t="str">
        <f>TEXT(WEEKDAY(DATE(CalendarYear,7,17),1),"jjj")</f>
        <v>jeu.</v>
      </c>
      <c r="T7" s="17" t="str">
        <f>TEXT(WEEKDAY(DATE(CalendarYear,7,18),1),"jjj")</f>
        <v>ven.</v>
      </c>
      <c r="U7" s="17" t="str">
        <f>TEXT(WEEKDAY(DATE(CalendarYear,7,19),1),"jjj")</f>
        <v>sam.</v>
      </c>
      <c r="V7" s="17" t="str">
        <f>TEXT(WEEKDAY(DATE(CalendarYear,7,20),1),"jjj")</f>
        <v>dim.</v>
      </c>
      <c r="W7" s="17" t="str">
        <f>TEXT(WEEKDAY(DATE(CalendarYear,7,21),1),"jjj")</f>
        <v>lun.</v>
      </c>
      <c r="X7" s="17" t="str">
        <f>TEXT(WEEKDAY(DATE(CalendarYear,7,22),1),"jjj")</f>
        <v>mar.</v>
      </c>
      <c r="Y7" s="17" t="str">
        <f>TEXT(WEEKDAY(DATE(CalendarYear,7,23),1),"jjj")</f>
        <v>mer.</v>
      </c>
      <c r="Z7" s="17" t="str">
        <f>TEXT(WEEKDAY(DATE(CalendarYear,7,24),1),"jjj")</f>
        <v>jeu.</v>
      </c>
      <c r="AA7" s="17" t="str">
        <f>TEXT(WEEKDAY(DATE(CalendarYear,7,25),1),"jjj")</f>
        <v>ven.</v>
      </c>
      <c r="AB7" s="17" t="str">
        <f>TEXT(WEEKDAY(DATE(CalendarYear,7,26),1),"jjj")</f>
        <v>sam.</v>
      </c>
      <c r="AC7" s="17" t="str">
        <f>TEXT(WEEKDAY(DATE(CalendarYear,7,27),1),"jjj")</f>
        <v>dim.</v>
      </c>
      <c r="AD7" s="17" t="str">
        <f>TEXT(WEEKDAY(DATE(CalendarYear,7,28),1),"jjj")</f>
        <v>lun.</v>
      </c>
      <c r="AE7" s="17" t="str">
        <f>TEXT(WEEKDAY(DATE(CalendarYear,7,29),1),"jjj")</f>
        <v>mar.</v>
      </c>
      <c r="AF7" s="17" t="str">
        <f>TEXT(WEEKDAY(DATE(CalendarYear,7,30),1),"jjj")</f>
        <v>mer.</v>
      </c>
      <c r="AG7" s="17" t="str">
        <f>TEXT(WEEKDAY(DATE(CalendarYear,7,31),1),"jjj")</f>
        <v>jeu.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COUNTA(Juillet[[#This Row],[1]:[31]])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COUNTA(Juillet[[#This Row],[1]:[31]])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COUNTA(Juillet[[#This Row],[1]:[31]])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COUNTA(Juillet[[#This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COUNTA(Juillet[[#This Row],[1]:[31]])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COUNTA(Juillet[[#This Row],[1]:[31]])</f>
        <v>0</v>
      </c>
    </row>
    <row r="15" spans="2:34" ht="30" customHeight="1">
      <c r="B15" s="2" t="s">
        <v>45</v>
      </c>
      <c r="AG15" s="29"/>
      <c r="AH15" s="29">
        <f>COUNTA(Juillet[[#This Row],[1]:[31]])</f>
        <v>0</v>
      </c>
    </row>
    <row r="16" spans="2:34" ht="30" customHeight="1">
      <c r="B16" s="35" t="s">
        <v>46</v>
      </c>
      <c r="AG16" s="29"/>
      <c r="AH16" s="29">
        <f>COUNTA(Juillet[[#This Row],[1]:[31]])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1291" priority="8" stopIfTrue="1">
      <formula>C9="C"</formula>
    </cfRule>
    <cfRule type="expression" dxfId="1290" priority="9" stopIfTrue="1">
      <formula>C9="R"</formula>
    </cfRule>
  </conditionalFormatting>
  <conditionalFormatting sqref="AH9:AH16">
    <cfRule type="dataBar" priority="7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{E0DCF129-9B2A-4CEB-9E56-27607F4BED20}</x14:id>
        </ext>
      </extLst>
    </cfRule>
  </conditionalFormatting>
  <pageMargins left="0.7" right="0.7" top="0.75" bottom="0.75" header="0.3" footer="0.3"/>
  <pageSetup paperSize="9" fitToHeight="0" orientation="portrait" verticalDpi="4294967293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0DCF129-9B2A-4CEB-9E56-27607F4BED20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>
    <tabColor theme="8"/>
  </sheetPr>
  <dimension ref="B1:AH16"/>
  <sheetViews>
    <sheetView showGridLines="0" topLeftCell="A4" zoomScaleNormal="100" workbookViewId="0">
      <selection activeCell="B12" sqref="B12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5" t="s">
        <v>55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TEXT(WEEKDAY(DATE(CalendarYear,8,1),1),"jjj")</f>
        <v>ven.</v>
      </c>
      <c r="D7" s="17" t="str">
        <f>TEXT(WEEKDAY(DATE(CalendarYear,8,2),1),"jjj")</f>
        <v>sam.</v>
      </c>
      <c r="E7" s="17" t="str">
        <f>TEXT(WEEKDAY(DATE(CalendarYear,8,3),1),"jjj")</f>
        <v>dim.</v>
      </c>
      <c r="F7" s="17" t="str">
        <f>TEXT(WEEKDAY(DATE(CalendarYear,8,4),1),"jjj")</f>
        <v>lun.</v>
      </c>
      <c r="G7" s="17" t="str">
        <f>TEXT(WEEKDAY(DATE(CalendarYear,8,5),1),"jjj")</f>
        <v>mar.</v>
      </c>
      <c r="H7" s="17" t="str">
        <f>TEXT(WEEKDAY(DATE(CalendarYear,8,6),1),"jjj")</f>
        <v>mer.</v>
      </c>
      <c r="I7" s="17" t="str">
        <f>TEXT(WEEKDAY(DATE(CalendarYear,8,7),1),"jjj")</f>
        <v>jeu.</v>
      </c>
      <c r="J7" s="17" t="str">
        <f>TEXT(WEEKDAY(DATE(CalendarYear,8,8),1),"jjj")</f>
        <v>ven.</v>
      </c>
      <c r="K7" s="17" t="str">
        <f>TEXT(WEEKDAY(DATE(CalendarYear,8,9),1),"jjj")</f>
        <v>sam.</v>
      </c>
      <c r="L7" s="17" t="str">
        <f>TEXT(WEEKDAY(DATE(CalendarYear,8,10),1),"jjj")</f>
        <v>dim.</v>
      </c>
      <c r="M7" s="17" t="str">
        <f>TEXT(WEEKDAY(DATE(CalendarYear,8,11),1),"jjj")</f>
        <v>lun.</v>
      </c>
      <c r="N7" s="17" t="str">
        <f>TEXT(WEEKDAY(DATE(CalendarYear,8,12),1),"jjj")</f>
        <v>mar.</v>
      </c>
      <c r="O7" s="17" t="str">
        <f>TEXT(WEEKDAY(DATE(CalendarYear,8,13),1),"jjj")</f>
        <v>mer.</v>
      </c>
      <c r="P7" s="17" t="str">
        <f>TEXT(WEEKDAY(DATE(CalendarYear,8,14),1),"jjj")</f>
        <v>jeu.</v>
      </c>
      <c r="Q7" s="17" t="str">
        <f>TEXT(WEEKDAY(DATE(CalendarYear,8,15),1),"jjj")</f>
        <v>ven.</v>
      </c>
      <c r="R7" s="17" t="str">
        <f>TEXT(WEEKDAY(DATE(CalendarYear,8,16),1),"jjj")</f>
        <v>sam.</v>
      </c>
      <c r="S7" s="17" t="str">
        <f>TEXT(WEEKDAY(DATE(CalendarYear,8,17),1),"jjj")</f>
        <v>dim.</v>
      </c>
      <c r="T7" s="17" t="str">
        <f>TEXT(WEEKDAY(DATE(CalendarYear,8,18),1),"jjj")</f>
        <v>lun.</v>
      </c>
      <c r="U7" s="17" t="str">
        <f>TEXT(WEEKDAY(DATE(CalendarYear,8,19),1),"jjj")</f>
        <v>mar.</v>
      </c>
      <c r="V7" s="17" t="str">
        <f>TEXT(WEEKDAY(DATE(CalendarYear,8,20),1),"jjj")</f>
        <v>mer.</v>
      </c>
      <c r="W7" s="17" t="str">
        <f>TEXT(WEEKDAY(DATE(CalendarYear,8,21),1),"jjj")</f>
        <v>jeu.</v>
      </c>
      <c r="X7" s="17" t="str">
        <f>TEXT(WEEKDAY(DATE(CalendarYear,8,22),1),"jjj")</f>
        <v>ven.</v>
      </c>
      <c r="Y7" s="17" t="str">
        <f>TEXT(WEEKDAY(DATE(CalendarYear,8,23),1),"jjj")</f>
        <v>sam.</v>
      </c>
      <c r="Z7" s="17" t="str">
        <f>TEXT(WEEKDAY(DATE(CalendarYear,8,24),1),"jjj")</f>
        <v>dim.</v>
      </c>
      <c r="AA7" s="17" t="str">
        <f>TEXT(WEEKDAY(DATE(CalendarYear,8,25),1),"jjj")</f>
        <v>lun.</v>
      </c>
      <c r="AB7" s="17" t="str">
        <f>TEXT(WEEKDAY(DATE(CalendarYear,8,26),1),"jjj")</f>
        <v>mar.</v>
      </c>
      <c r="AC7" s="17" t="str">
        <f>TEXT(WEEKDAY(DATE(CalendarYear,8,27),1),"jjj")</f>
        <v>mer.</v>
      </c>
      <c r="AD7" s="17" t="str">
        <f>TEXT(WEEKDAY(DATE(CalendarYear,8,28),1),"jjj")</f>
        <v>jeu.</v>
      </c>
      <c r="AE7" s="17" t="str">
        <f>TEXT(WEEKDAY(DATE(CalendarYear,8,29),1),"jjj")</f>
        <v>ven.</v>
      </c>
      <c r="AF7" s="17" t="str">
        <f>TEXT(WEEKDAY(DATE(CalendarYear,8,30),1),"jjj")</f>
        <v>sam.</v>
      </c>
      <c r="AG7" s="17" t="str">
        <f>TEXT(WEEKDAY(DATE(CalendarYear,8,31),1),"jjj")</f>
        <v>dim.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COUNTA(Août[[#This Row],[1]:[31]])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COUNTA(Août[[#This Row],[1]:[31]])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COUNTA(Août[[#This Row],[1]:[31]])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COUNTA(Août[[#This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COUNTA(Août[[#This Row],[1]:[31]])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COUNTA(Août[[#This Row],[1]:[31]])</f>
        <v>0</v>
      </c>
    </row>
    <row r="15" spans="2:34" ht="30" customHeight="1">
      <c r="B15" s="2" t="s">
        <v>45</v>
      </c>
      <c r="AG15" s="29"/>
      <c r="AH15" s="29">
        <f>COUNTA(Août[[#This Row],[1]:[31]])</f>
        <v>0</v>
      </c>
    </row>
    <row r="16" spans="2:34" ht="30" customHeight="1">
      <c r="B16" s="35" t="s">
        <v>46</v>
      </c>
      <c r="AG16" s="29"/>
      <c r="AH16" s="29">
        <f>COUNTA(Août[[#This Row],[1]:[31]])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1220" priority="8" stopIfTrue="1">
      <formula>C9="C"</formula>
    </cfRule>
    <cfRule type="expression" dxfId="1219" priority="9" stopIfTrue="1">
      <formula>C9="R"</formula>
    </cfRule>
  </conditionalFormatting>
  <conditionalFormatting sqref="AH9:AH16">
    <cfRule type="dataBar" priority="7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{09900229-9536-43AB-AAE0-FC121BDECD61}</x14:id>
        </ext>
      </extLst>
    </cfRule>
  </conditionalFormatting>
  <pageMargins left="0.7" right="0.7" top="0.75" bottom="0.75" header="0.3" footer="0.3"/>
  <pageSetup paperSize="9" fitToHeight="0" orientation="portrait" verticalDpi="4294967293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9900229-9536-43AB-AAE0-FC121BDECD61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9">
    <tabColor theme="7"/>
  </sheetPr>
  <dimension ref="B1:AH16"/>
  <sheetViews>
    <sheetView showGridLines="0" topLeftCell="A6" zoomScaleNormal="100" workbookViewId="0">
      <selection activeCell="B12" sqref="B12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4" t="s">
        <v>56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TEXT(WEEKDAY(DATE(CalendarYear,9,1),1),"jjj")</f>
        <v>lun.</v>
      </c>
      <c r="D7" s="17" t="str">
        <f>TEXT(WEEKDAY(DATE(CalendarYear,9,2),1),"jjj")</f>
        <v>mar.</v>
      </c>
      <c r="E7" s="17" t="str">
        <f>TEXT(WEEKDAY(DATE(CalendarYear,9,3),1),"jjj")</f>
        <v>mer.</v>
      </c>
      <c r="F7" s="17" t="str">
        <f>TEXT(WEEKDAY(DATE(CalendarYear,9,4),1),"jjj")</f>
        <v>jeu.</v>
      </c>
      <c r="G7" s="17" t="str">
        <f>TEXT(WEEKDAY(DATE(CalendarYear,9,5),1),"jjj")</f>
        <v>ven.</v>
      </c>
      <c r="H7" s="17" t="str">
        <f>TEXT(WEEKDAY(DATE(CalendarYear,9,6),1),"jjj")</f>
        <v>sam.</v>
      </c>
      <c r="I7" s="17" t="str">
        <f>TEXT(WEEKDAY(DATE(CalendarYear,9,7),1),"jjj")</f>
        <v>dim.</v>
      </c>
      <c r="J7" s="17" t="str">
        <f>TEXT(WEEKDAY(DATE(CalendarYear,9,8),1),"jjj")</f>
        <v>lun.</v>
      </c>
      <c r="K7" s="17" t="str">
        <f>TEXT(WEEKDAY(DATE(CalendarYear,9,9),1),"jjj")</f>
        <v>mar.</v>
      </c>
      <c r="L7" s="17" t="str">
        <f>TEXT(WEEKDAY(DATE(CalendarYear,9,10),1),"jjj")</f>
        <v>mer.</v>
      </c>
      <c r="M7" s="17" t="str">
        <f>TEXT(WEEKDAY(DATE(CalendarYear,9,11),1),"jjj")</f>
        <v>jeu.</v>
      </c>
      <c r="N7" s="17" t="str">
        <f>TEXT(WEEKDAY(DATE(CalendarYear,9,12),1),"jjj")</f>
        <v>ven.</v>
      </c>
      <c r="O7" s="17" t="str">
        <f>TEXT(WEEKDAY(DATE(CalendarYear,9,13),1),"jjj")</f>
        <v>sam.</v>
      </c>
      <c r="P7" s="17" t="str">
        <f>TEXT(WEEKDAY(DATE(CalendarYear,9,14),1),"jjj")</f>
        <v>dim.</v>
      </c>
      <c r="Q7" s="17" t="str">
        <f>TEXT(WEEKDAY(DATE(CalendarYear,9,15),1),"jjj")</f>
        <v>lun.</v>
      </c>
      <c r="R7" s="17" t="str">
        <f>TEXT(WEEKDAY(DATE(CalendarYear,9,16),1),"jjj")</f>
        <v>mar.</v>
      </c>
      <c r="S7" s="17" t="str">
        <f>TEXT(WEEKDAY(DATE(CalendarYear,9,17),1),"jjj")</f>
        <v>mer.</v>
      </c>
      <c r="T7" s="17" t="str">
        <f>TEXT(WEEKDAY(DATE(CalendarYear,9,18),1),"jjj")</f>
        <v>jeu.</v>
      </c>
      <c r="U7" s="17" t="str">
        <f>TEXT(WEEKDAY(DATE(CalendarYear,9,19),1),"jjj")</f>
        <v>ven.</v>
      </c>
      <c r="V7" s="17" t="str">
        <f>TEXT(WEEKDAY(DATE(CalendarYear,9,20),1),"jjj")</f>
        <v>sam.</v>
      </c>
      <c r="W7" s="17" t="str">
        <f>TEXT(WEEKDAY(DATE(CalendarYear,9,21),1),"jjj")</f>
        <v>dim.</v>
      </c>
      <c r="X7" s="17" t="str">
        <f>TEXT(WEEKDAY(DATE(CalendarYear,9,22),1),"jjj")</f>
        <v>lun.</v>
      </c>
      <c r="Y7" s="17" t="str">
        <f>TEXT(WEEKDAY(DATE(CalendarYear,9,23),1),"jjj")</f>
        <v>mar.</v>
      </c>
      <c r="Z7" s="17" t="str">
        <f>TEXT(WEEKDAY(DATE(CalendarYear,9,24),1),"jjj")</f>
        <v>mer.</v>
      </c>
      <c r="AA7" s="17" t="str">
        <f>TEXT(WEEKDAY(DATE(CalendarYear,9,25),1),"jjj")</f>
        <v>jeu.</v>
      </c>
      <c r="AB7" s="17" t="str">
        <f>TEXT(WEEKDAY(DATE(CalendarYear,9,26),1),"jjj")</f>
        <v>ven.</v>
      </c>
      <c r="AC7" s="17" t="str">
        <f>TEXT(WEEKDAY(DATE(CalendarYear,9,27),1),"jjj")</f>
        <v>sam.</v>
      </c>
      <c r="AD7" s="17" t="str">
        <f>TEXT(WEEKDAY(DATE(CalendarYear,9,28),1),"jjj")</f>
        <v>dim.</v>
      </c>
      <c r="AE7" s="17" t="str">
        <f>TEXT(WEEKDAY(DATE(CalendarYear,9,29),1),"jjj")</f>
        <v>lun.</v>
      </c>
      <c r="AF7" s="17" t="str">
        <f>TEXT(WEEKDAY(DATE(CalendarYear,9,30),1),"jjj")</f>
        <v>mar.</v>
      </c>
      <c r="AG7" s="17"/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48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COUNTA(Septembre[[#This Row],[1]:[ 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COUNTA(Septembre[[#This Row],[1]:[ 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COUNTA(Septembre[[#This Row],[1]:[ 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COUNTA(Septembre[[#This Row],[1]:[ 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COUNTA(Septembre[[#This Row],[1]:[ 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COUNTA(Septembre[[#This Row],[1]:[ ]])</f>
        <v>0</v>
      </c>
    </row>
    <row r="15" spans="2:34" ht="30" customHeight="1">
      <c r="B15" s="2" t="s">
        <v>45</v>
      </c>
      <c r="AG15" s="29"/>
      <c r="AH15" s="29">
        <f>COUNTA(Septembre[[#This Row],[1]:[ ]])</f>
        <v>0</v>
      </c>
    </row>
    <row r="16" spans="2:34" ht="30" customHeight="1">
      <c r="B16" s="35" t="s">
        <v>46</v>
      </c>
      <c r="AG16" s="29"/>
      <c r="AH16" s="29">
        <f>COUNTA(Septembre[[#This Row],[1]:[ 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1149" priority="8" stopIfTrue="1">
      <formula>C9="C"</formula>
    </cfRule>
    <cfRule type="expression" dxfId="1148" priority="9" stopIfTrue="1">
      <formula>C9="R"</formula>
    </cfRule>
  </conditionalFormatting>
  <conditionalFormatting sqref="AH9:AH16">
    <cfRule type="dataBar" priority="7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{1A021984-06A1-41D9-90D2-8C16E885020B}</x14:id>
        </ext>
      </extLst>
    </cfRule>
  </conditionalFormatting>
  <pageMargins left="0.7" right="0.7" top="0.75" bottom="0.75" header="0.3" footer="0.3"/>
  <pageSetup paperSize="9" fitToHeight="0" orientation="portrait" verticalDpi="4294967293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A021984-06A1-41D9-90D2-8C16E885020B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416EBA-1ECE-4253-8F5F-379C4C21BCA1}"/>
</file>

<file path=customXml/itemProps2.xml><?xml version="1.0" encoding="utf-8"?>
<ds:datastoreItem xmlns:ds="http://schemas.openxmlformats.org/officeDocument/2006/customXml" ds:itemID="{07D05670-3C2E-4910-93A4-3F46AB1A1CD5}"/>
</file>

<file path=customXml/itemProps3.xml><?xml version="1.0" encoding="utf-8"?>
<ds:datastoreItem xmlns:ds="http://schemas.openxmlformats.org/officeDocument/2006/customXml" ds:itemID="{5C1DB48D-B39A-4027-AC09-EC0D149B5064}"/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TM03987167</Template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Comité 78</cp:lastModifiedBy>
  <cp:revision/>
  <dcterms:created xsi:type="dcterms:W3CDTF">2023-01-31T06:59:27Z</dcterms:created>
  <dcterms:modified xsi:type="dcterms:W3CDTF">2025-12-05T15:25:07Z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